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60" windowWidth="21720" windowHeight="12345" firstSheet="28" activeTab="28"/>
  </bookViews>
  <sheets>
    <sheet name="ВЛ ТП 114 - Гущина Р.Н." sheetId="1" r:id="rId1"/>
    <sheet name="ВЛ ТП 229 - Алексеев МВ" sheetId="3" r:id="rId2"/>
    <sheet name="ВЛ ТП 738 - Бирюков А.С." sheetId="4" r:id="rId3"/>
    <sheet name="ВЛ ТП 746 - Сизова Н.А." sheetId="5" r:id="rId4"/>
    <sheet name="ВЛ ТП 839 - Гусейнов А.С." sheetId="6" r:id="rId5"/>
    <sheet name="ВЛ РП-Горный Реконст." sheetId="7" r:id="rId6"/>
    <sheet name="ВЛ РП-Горный Реконст. (2)" sheetId="8" r:id="rId7"/>
    <sheet name="ВЛ ТП 947 - Гнедова Н.А." sheetId="9" r:id="rId8"/>
    <sheet name="ВЛ ТП 657 - Коротков А.Е." sheetId="10" r:id="rId9"/>
    <sheet name="ВЛ ТП 168 - Глухова Л.А." sheetId="11" r:id="rId10"/>
    <sheet name="ВЛ ТП 738 - Бабенко А.В." sheetId="12" r:id="rId11"/>
    <sheet name="ВЛ ТП 839 - Мухаметшин С.С." sheetId="13" r:id="rId12"/>
    <sheet name="ВЛ ТП 1106 - Петросян А.А." sheetId="14" r:id="rId13"/>
    <sheet name="ВЛ ТП 464 - Акберов Х.А." sheetId="15" r:id="rId14"/>
    <sheet name="ВЛ ТП 1106 - ООО Меркурий-Н" sheetId="16" r:id="rId15"/>
    <sheet name="ВЛ ТП 590 - Заико К.В." sheetId="17" r:id="rId16"/>
    <sheet name="ВЛ0,4-ТП-738 КЛ выв.Маркин О.И " sheetId="18" r:id="rId17"/>
    <sheet name="ВЛ ТП 1115-ООО Геотраст" sheetId="19" r:id="rId18"/>
    <sheet name="ВЛ ТП 323 - Коваленко А.Л." sheetId="20" r:id="rId19"/>
    <sheet name="ВЛ КТП 748 - Гологурская Р.Г." sheetId="21" r:id="rId20"/>
    <sheet name="ВЛ ТП 353 - Белобородов Д.Л." sheetId="22" r:id="rId21"/>
    <sheet name="ВЛ РП-Юбилейный- Погосян А.Н." sheetId="23" r:id="rId22"/>
    <sheet name="ВЛ КТП-997- Чистоколов С.П." sheetId="24" r:id="rId23"/>
    <sheet name="ВЛ ТП-177- Чеснокова А.В." sheetId="25" r:id="rId24"/>
    <sheet name="ВЛ КТП-787- Булатова Т.Р." sheetId="26" r:id="rId25"/>
    <sheet name="ТП 69 ВЛ и КЛ Умроян" sheetId="27" r:id="rId26"/>
    <sheet name="ТП 1486 ВЛ и КЛ Иманов В.Ш." sheetId="28" r:id="rId27"/>
    <sheet name="ВЛ ТП-564- Корниенко В.А." sheetId="29" r:id="rId28"/>
    <sheet name="ВЛ ТП-347- Барулин А.Н" sheetId="30" r:id="rId29"/>
    <sheet name="ВЛ КТП-946- Морозова Ю.К." sheetId="31" r:id="rId30"/>
    <sheet name="ВЛ ТП-447ФГБУРос.сельскохо.цент" sheetId="32" r:id="rId31"/>
    <sheet name="ВЛ ТП-206- Гусейнов Р.Э" sheetId="33" r:id="rId32"/>
    <sheet name="ВЛ-0,4 РП-Нагорный,т.пр.Доненко" sheetId="34" r:id="rId33"/>
  </sheets>
  <calcPr calcId="145621"/>
</workbook>
</file>

<file path=xl/calcChain.xml><?xml version="1.0" encoding="utf-8"?>
<calcChain xmlns="http://schemas.openxmlformats.org/spreadsheetml/2006/main">
  <c r="E23" i="30" l="1"/>
  <c r="I36" i="34" l="1"/>
  <c r="I20" i="34"/>
  <c r="I19" i="34"/>
  <c r="I27" i="34" l="1"/>
  <c r="I32" i="34"/>
  <c r="I33" i="34" l="1"/>
  <c r="I37" i="34" l="1"/>
  <c r="I38" i="34" s="1"/>
  <c r="E18" i="33" l="1"/>
  <c r="E17" i="33"/>
  <c r="D19" i="33" l="1"/>
  <c r="E19" i="33" s="1"/>
  <c r="E22" i="33" s="1"/>
  <c r="E23" i="33" s="1"/>
  <c r="E24" i="33" s="1"/>
  <c r="E22" i="32"/>
  <c r="E21" i="32"/>
  <c r="E20" i="32"/>
  <c r="E17" i="32"/>
  <c r="D19" i="32" s="1"/>
  <c r="E19" i="32" s="1"/>
  <c r="E18" i="32"/>
  <c r="E23" i="31" l="1"/>
  <c r="E17" i="31"/>
  <c r="E18" i="31" l="1"/>
  <c r="D19" i="31"/>
  <c r="E19" i="31" s="1"/>
  <c r="E22" i="31" s="1"/>
  <c r="E24" i="31" l="1"/>
  <c r="E17" i="30"/>
  <c r="E18" i="30"/>
  <c r="E17" i="29"/>
  <c r="D19" i="29" s="1"/>
  <c r="E19" i="29" s="1"/>
  <c r="E22" i="29" s="1"/>
  <c r="E18" i="29"/>
  <c r="D19" i="30" l="1"/>
  <c r="E19" i="30" s="1"/>
  <c r="E22" i="30" s="1"/>
  <c r="E24" i="30"/>
  <c r="E23" i="29"/>
  <c r="E24" i="29" s="1"/>
  <c r="I35" i="28"/>
  <c r="I32" i="28" l="1"/>
  <c r="I31" i="28"/>
  <c r="I26" i="28"/>
  <c r="I18" i="28"/>
  <c r="I19" i="28"/>
  <c r="I37" i="27" l="1"/>
  <c r="I25" i="27"/>
  <c r="I36" i="28" l="1"/>
  <c r="I37" i="28" s="1"/>
  <c r="I32" i="27"/>
  <c r="I18" i="27"/>
  <c r="I17" i="27" l="1"/>
  <c r="I38" i="27" s="1"/>
  <c r="H8" i="27"/>
  <c r="I40" i="27" l="1"/>
  <c r="I41" i="27" l="1"/>
  <c r="I42" i="27" s="1"/>
  <c r="E16" i="26"/>
  <c r="D18" i="26" s="1"/>
  <c r="E18" i="26" s="1"/>
  <c r="E21" i="26" s="1"/>
  <c r="E17" i="26"/>
  <c r="D8" i="26"/>
  <c r="E22" i="26" l="1"/>
  <c r="E23" i="26" s="1"/>
  <c r="E16" i="25"/>
  <c r="D18" i="25" s="1"/>
  <c r="E18" i="25" s="1"/>
  <c r="E21" i="25" s="1"/>
  <c r="E17" i="25"/>
  <c r="D8" i="25"/>
  <c r="E22" i="25" l="1"/>
  <c r="E23" i="25" s="1"/>
  <c r="E17" i="24"/>
  <c r="E16" i="24"/>
  <c r="D8" i="24"/>
  <c r="D18" i="24" l="1"/>
  <c r="E18" i="24" s="1"/>
  <c r="E21" i="24" s="1"/>
  <c r="E22" i="24" s="1"/>
  <c r="E23" i="24" s="1"/>
  <c r="E17" i="22"/>
  <c r="E17" i="23"/>
  <c r="E16" i="23"/>
  <c r="D8" i="23"/>
  <c r="D18" i="23" l="1"/>
  <c r="E18" i="23" s="1"/>
  <c r="E21" i="23" s="1"/>
  <c r="E22" i="23" s="1"/>
  <c r="E23" i="23" s="1"/>
  <c r="E16" i="22"/>
  <c r="D18" i="22"/>
  <c r="E18" i="22" s="1"/>
  <c r="E21" i="22" s="1"/>
  <c r="D8" i="22"/>
  <c r="E22" i="22" l="1"/>
  <c r="E23" i="22" s="1"/>
  <c r="E20" i="21"/>
  <c r="E16" i="21"/>
  <c r="D18" i="21" s="1"/>
  <c r="E18" i="21" s="1"/>
  <c r="E17" i="21"/>
  <c r="D8" i="21"/>
  <c r="E21" i="21" l="1"/>
  <c r="E22" i="21" s="1"/>
  <c r="E16" i="20"/>
  <c r="D18" i="20" s="1"/>
  <c r="E18" i="20" s="1"/>
  <c r="E19" i="20" s="1"/>
  <c r="E17" i="20"/>
  <c r="D8" i="20"/>
  <c r="E20" i="20" l="1"/>
  <c r="E21" i="20" s="1"/>
  <c r="E20" i="19"/>
  <c r="E16" i="19"/>
  <c r="D18" i="19" s="1"/>
  <c r="E18" i="19" s="1"/>
  <c r="E17" i="19"/>
  <c r="D8" i="19"/>
  <c r="E21" i="19" l="1"/>
  <c r="E22" i="19" s="1"/>
  <c r="E17" i="17"/>
  <c r="E16" i="17"/>
  <c r="E17" i="16"/>
  <c r="E16" i="16"/>
  <c r="E24" i="18"/>
  <c r="E19" i="18"/>
  <c r="E18" i="18"/>
  <c r="D21" i="18" l="1"/>
  <c r="E20" i="18"/>
  <c r="E17" i="18"/>
  <c r="D8" i="18"/>
  <c r="E21" i="18" l="1"/>
  <c r="E25" i="18" s="1"/>
  <c r="E26" i="18" s="1"/>
  <c r="D18" i="17"/>
  <c r="E18" i="17" s="1"/>
  <c r="E21" i="17" s="1"/>
  <c r="D8" i="17"/>
  <c r="E22" i="17" l="1"/>
  <c r="E23" i="17" s="1"/>
  <c r="D18" i="16"/>
  <c r="E18" i="16" s="1"/>
  <c r="E19" i="16" s="1"/>
  <c r="D8" i="16"/>
  <c r="E20" i="16" l="1"/>
  <c r="E21" i="16" s="1"/>
  <c r="E16" i="15"/>
  <c r="D18" i="15" s="1"/>
  <c r="E18" i="15" s="1"/>
  <c r="E21" i="15" s="1"/>
  <c r="E17" i="15"/>
  <c r="D8" i="15"/>
  <c r="E22" i="15" l="1"/>
  <c r="E23" i="15" s="1"/>
  <c r="E17" i="14"/>
  <c r="D19" i="14" s="1"/>
  <c r="E19" i="14" s="1"/>
  <c r="E22" i="14" s="1"/>
  <c r="E18" i="14"/>
  <c r="D8" i="14"/>
  <c r="E23" i="14" l="1"/>
  <c r="E24" i="14" s="1"/>
  <c r="E23" i="13"/>
  <c r="E23" i="10"/>
  <c r="E22" i="13"/>
  <c r="E18" i="13"/>
  <c r="E17" i="13"/>
  <c r="D8" i="13"/>
  <c r="D19" i="13" l="1"/>
  <c r="E19" i="13" s="1"/>
  <c r="E24" i="13" s="1"/>
  <c r="E21" i="12"/>
  <c r="E18" i="12"/>
  <c r="E17" i="12"/>
  <c r="D8" i="12"/>
  <c r="D19" i="12" l="1"/>
  <c r="E19" i="12" s="1"/>
  <c r="E22" i="12" s="1"/>
  <c r="E23" i="12" s="1"/>
  <c r="E17" i="11"/>
  <c r="D19" i="11" s="1"/>
  <c r="E19" i="11" s="1"/>
  <c r="E20" i="11" s="1"/>
  <c r="E18" i="11"/>
  <c r="D8" i="11"/>
  <c r="E21" i="11" l="1"/>
  <c r="E22" i="11" s="1"/>
  <c r="E17" i="10"/>
  <c r="D19" i="10" s="1"/>
  <c r="E19" i="10" s="1"/>
  <c r="E22" i="10" s="1"/>
  <c r="E18" i="10"/>
  <c r="D8" i="10"/>
  <c r="E21" i="9"/>
  <c r="E18" i="9"/>
  <c r="E17" i="9"/>
  <c r="D8" i="9"/>
  <c r="E24" i="10" l="1"/>
  <c r="D19" i="9"/>
  <c r="E19" i="9" s="1"/>
  <c r="E22" i="9" s="1"/>
  <c r="E23" i="9" s="1"/>
  <c r="D8" i="8"/>
  <c r="E17" i="7" l="1"/>
  <c r="D19" i="7" l="1"/>
  <c r="E19" i="7" s="1"/>
  <c r="E22" i="7" s="1"/>
  <c r="E18" i="7"/>
  <c r="D8" i="7"/>
  <c r="E23" i="7" l="1"/>
  <c r="E24" i="7" s="1"/>
  <c r="E17" i="6"/>
  <c r="D19" i="6" s="1"/>
  <c r="E19" i="6" s="1"/>
  <c r="E22" i="6" s="1"/>
  <c r="E18" i="6"/>
  <c r="D8" i="6"/>
  <c r="E23" i="6" l="1"/>
  <c r="E24" i="6" s="1"/>
  <c r="E17" i="5"/>
  <c r="D19" i="5" s="1"/>
  <c r="E19" i="5" s="1"/>
  <c r="E22" i="5" s="1"/>
  <c r="E18" i="5"/>
  <c r="D8" i="5"/>
  <c r="E23" i="5" l="1"/>
  <c r="E24" i="5" s="1"/>
  <c r="E18" i="4"/>
  <c r="E17" i="4"/>
  <c r="D8" i="4"/>
  <c r="D19" i="4" l="1"/>
  <c r="E19" i="4" s="1"/>
  <c r="E22" i="4" s="1"/>
  <c r="E23" i="4" s="1"/>
  <c r="E24" i="4" s="1"/>
  <c r="D8" i="3"/>
  <c r="E17" i="3"/>
  <c r="E18" i="3"/>
  <c r="D19" i="3" s="1"/>
  <c r="E19" i="3" s="1"/>
  <c r="E22" i="3" s="1"/>
  <c r="E23" i="3" l="1"/>
  <c r="E24" i="3" s="1"/>
  <c r="D19" i="1"/>
  <c r="E17" i="1"/>
  <c r="E19" i="1" l="1"/>
  <c r="E22" i="1" s="1"/>
  <c r="E18" i="1"/>
  <c r="D8" i="1"/>
  <c r="E23" i="1" l="1"/>
  <c r="E24" i="1" s="1"/>
</calcChain>
</file>

<file path=xl/sharedStrings.xml><?xml version="1.0" encoding="utf-8"?>
<sst xmlns="http://schemas.openxmlformats.org/spreadsheetml/2006/main" count="1406" uniqueCount="288">
  <si>
    <t>Приложение №_____к договору №_____от"___"__________________2017г.</t>
  </si>
  <si>
    <t xml:space="preserve">Заказчик:        </t>
  </si>
  <si>
    <t>Исполнитель:</t>
  </si>
  <si>
    <t xml:space="preserve">1-й заместитель </t>
  </si>
  <si>
    <t>Директор</t>
  </si>
  <si>
    <t>генерального директора ЗАО "СПГЭС"</t>
  </si>
  <si>
    <t xml:space="preserve">ООО «ГорЭнергоСервис»                                                                                                                                                                           </t>
  </si>
  <si>
    <t>_____________Д.О. Грищенко</t>
  </si>
  <si>
    <t>_____________А.Н. Куликов</t>
  </si>
  <si>
    <t>"___" ___________ 2017 г.</t>
  </si>
  <si>
    <t xml:space="preserve">Смета № </t>
  </si>
  <si>
    <t>Проектные работы.</t>
  </si>
  <si>
    <t xml:space="preserve">№
п/п
</t>
  </si>
  <si>
    <t>Характеристика предприятия, здания, сооружения или вида работ</t>
  </si>
  <si>
    <t>Ном. частей, глав, таблиц, §§ и пунктов, указаний к разделу или главе справочника базовых цен на проектные работы для строительства.</t>
  </si>
  <si>
    <t>Расчёт стоимости: общая стоимость строительства) х а%/100хКi</t>
  </si>
  <si>
    <t xml:space="preserve">Стоимость
руб.
</t>
  </si>
  <si>
    <t>Расчет токов короткого замыкания</t>
  </si>
  <si>
    <t>СБЦ 2003г.                                    Раздел 4.2 Табл.30 п.1  Раздел 4.2 Табл.30  столбец 7 К2(1)</t>
  </si>
  <si>
    <t>Срп(п)=(а+вх)*К2(1)*    *Кинд *К3           (0+800*1)*0,5*3,99</t>
  </si>
  <si>
    <t>Сбор исходных данных 10%</t>
  </si>
  <si>
    <t>От п.1-2</t>
  </si>
  <si>
    <t>Согласование с организациями города</t>
  </si>
  <si>
    <t>Инженерно-геодезические изыскания</t>
  </si>
  <si>
    <t xml:space="preserve">ИТОГО </t>
  </si>
  <si>
    <t>НДС 18%</t>
  </si>
  <si>
    <t>ВСЕГО</t>
  </si>
  <si>
    <t>Инженер-сметчик ООО "ГЭС"</t>
  </si>
  <si>
    <t>Проверил:</t>
  </si>
  <si>
    <t>Сахаров А.П.____________________</t>
  </si>
  <si>
    <t xml:space="preserve">                                                                                                                                                                                                                                                 </t>
  </si>
  <si>
    <t>Лоскуткина С.Д._____________________</t>
  </si>
  <si>
    <t xml:space="preserve"> ВЛИ-0,4 кВ 
Общая стоимость                     строительства 389640,50                                             руб.,                                                                     в ценах 2001г.-60146,41 руб. </t>
  </si>
  <si>
    <t>СБЦ 2003г.                                               Раздел3.Табл.12 БЦП=4811,71; Раздел3.Табл.11п.1 стр.31  К1=2,4; Табл.11п.4 стр.31  К2=1,2;   К4=0,805; К5(удорож.)=3,99</t>
  </si>
  <si>
    <t>4811,71х2,4х1,2х0,805х3,99</t>
  </si>
  <si>
    <t>Монтаж ВЛИ- 0,4кВ, ТП-114 от опоры №3-00/17 , п. Дальний Затон, СНТ "Березка"</t>
  </si>
  <si>
    <t>3128,66х2,4х1,2х0,805х3,99</t>
  </si>
  <si>
    <t>СБЦ 2003г.                                               Раздел3.Табл.12 БЦП=3128,66; Раздел3.Табл.11п.1 стр.31  К1=2,4; Табл.11п.4 стр.31  К2=1,2;   К4=0,805; К5(удорож.)=3,99</t>
  </si>
  <si>
    <r>
      <t xml:space="preserve"> ВЛИ-0,4 кВ 
Общая стоимость                     строительства 253351,16                                             руб.,                                                                     в ценах 2001г.-39108,26 </t>
    </r>
    <r>
      <rPr>
        <sz val="12"/>
        <rFont val="Times New Roman"/>
        <family val="1"/>
        <charset val="204"/>
      </rPr>
      <t xml:space="preserve">руб. </t>
    </r>
  </si>
  <si>
    <t>Монтаж ВЛИ- 0,4кВ, от опоры №2-01/6 ВЛИ- 0,4 кВ ТП 229 до концевой опоры, 2-й Монтажный проезд, д.44</t>
  </si>
  <si>
    <t>Монтаж ВЛИ- 0,4кВ, от опоры №1-05/3 ВЛИ- 0,4 кВ ТП 738 , 1-й Покровский пр., уч. №23, ЖГ №13</t>
  </si>
  <si>
    <t xml:space="preserve"> ВЛИ-0,4 кВ 
Общая стоимость                     строительства 161976,59                                             руб.,                                                                     в ценах 2001г.-25003,33 руб. </t>
  </si>
  <si>
    <t>СБЦ 2003г.                                               Раздел3.Табл.12 БЦП=2000,26; Раздел3.Табл.11п.1 стр.31  К1=2,4; Табл.11п.4 стр.31  К2=1,2;   К4=0,805; К5(удорож.)=3,99</t>
  </si>
  <si>
    <t>2000,26х2,4х1,2х0,805х3,99</t>
  </si>
  <si>
    <t>Срп(п)=(а+вх)*К2(1)*    *Кинд *К3           (0+800*2)*0,5*3,99</t>
  </si>
  <si>
    <t>"___" ___________ 2018 г.</t>
  </si>
  <si>
    <t>Монтаж ВЛИ- 0,4кВ, от опоры №2-03/2 ВЛИ- 0,4 кВ ТП 746, 3-й Лагерный пр., д.48А.</t>
  </si>
  <si>
    <t xml:space="preserve"> ВЛИ-0,4 кВ 
Общая стоимость                     строительства 70127,51                                             руб.,                                                                     в ценах 2001г.-10825,15 руб. </t>
  </si>
  <si>
    <t>СБЦ 2003г.                                               Раздел3.Табл.12 БЦП=866,01; Раздел3.Табл.11п.1 стр.31  К1=2,4; Табл.11п.4 стр.31  К2=1,2;   К4=0,805; К5(удорож.)=3,99</t>
  </si>
  <si>
    <t>866,01х2,4х1,2х0,805х3,99</t>
  </si>
  <si>
    <t>Монтаж ВЛИ- 0,4кВ, от опоры №1-01/5 ВЛИ- 0,4 кВ ТП 839, ТИЗ при С/Т "СТЭМК", участок №26</t>
  </si>
  <si>
    <t xml:space="preserve"> ВЛИ-0,4 кВ 
Общая стоимость                     строительства 285404,56                                             руб.,                                                                     в ценах 2001г.-44056,15 руб. </t>
  </si>
  <si>
    <t>СБЦ 2003г.                                               Раздел3.Табл.12 БЦП=3524,49; Раздел3.Табл.11п.1 стр.31  К1=2,4; Табл.11п.4 стр.31  К2=1,2;   К4=0,805; К5(удорож.)=3,99</t>
  </si>
  <si>
    <t>3524,49х2,4х1,2х0,805х3,99</t>
  </si>
  <si>
    <t>_____________Е.Н. Стрелин</t>
  </si>
  <si>
    <t>Приложение №_____к договору №_____от"___"__________________2018г.</t>
  </si>
  <si>
    <t>Монтаж ВЛИ- 0,4кВ, РП - Горный, ул. Хвалынская от ул. Посадского до ул. Соколовой.</t>
  </si>
  <si>
    <t xml:space="preserve"> ВЛИ-0,4 кВ 
Общая стоимость                     строительства 3564686,74                                             руб.,                                                                     в ценах 2001г.-550258,83 руб. </t>
  </si>
  <si>
    <t>СБЦ 2003г.                                               Раздел3.Табл.12 БЦП=25678,75; Раздел3.Табл.11п.1 стр.31  К1=2,4; Табл.11п.4 стр.31  К2=1,2;   К4=0,805; К5(удорож.)=3,99</t>
  </si>
  <si>
    <t>25678,75х2,4х1,2х0,805х3,99</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</si>
  <si>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</si>
  <si>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Апред=0.028(млн.руб); Аслед=0.039(млн.руб); 
Спред=0.6(млн.руб); Сслед=1.0(млн.руб); 
Стоим строит.
Стек=3,71768674(млн.руб)
Сбаз=3,71768674/5,49*1=0.67717427(млн.руб);</t>
  </si>
  <si>
    <t>(Aслед - (Aслед - Апред) / (Сслед - Спред) * (Сслед - С)) * Кст * Ктек * K1 * K2
(0.039 - (0.039 - 0.028) / (1 - 0.6) * (1 - 0.67717427)) * 1 * 3.99 * 2.4 * 1.2 * 0.805</t>
  </si>
  <si>
    <t>Коэффициенты</t>
  </si>
  <si>
    <t>Стадия: Рабочий проект</t>
  </si>
  <si>
    <t>Кст = 1</t>
  </si>
  <si>
    <t>Ктек = 3.99
Письмо Минстроя России от 20.03.2017 №8802-ХМ/09</t>
  </si>
  <si>
    <t>K1 = 2.4
Прим.1 к табл.11</t>
  </si>
  <si>
    <t>K2 = 1.2
Прим. 4 к табл.11</t>
  </si>
  <si>
    <t>Разделы документации</t>
  </si>
  <si>
    <t>(70.5% + 10.0%) = 80.5%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</si>
  <si>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</si>
  <si>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</si>
  <si>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3.99</t>
  </si>
  <si>
    <t>Кст = 0.50</t>
  </si>
  <si>
    <t>(100%) = 100%</t>
  </si>
  <si>
    <t>Итого по смете:</t>
  </si>
  <si>
    <t>Сбор исходных данных</t>
  </si>
  <si>
    <t>10% от п.3</t>
  </si>
  <si>
    <t>Проектные</t>
  </si>
  <si>
    <t>Согласование  с организациями города</t>
  </si>
  <si>
    <t>Итого без НДС</t>
  </si>
  <si>
    <t>Сумма от п.3 - 6</t>
  </si>
  <si>
    <t xml:space="preserve">НДС </t>
  </si>
  <si>
    <t>18% от п.7</t>
  </si>
  <si>
    <t>Всего по смете:</t>
  </si>
  <si>
    <t>Сумма от п.7-8</t>
  </si>
  <si>
    <t xml:space="preserve">Расчет стоимости: (a+bx)*Ki, или (объем строительно-монтажных работ) * проц./100 или количество x цена </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</si>
  <si>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</si>
  <si>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Горгаз, Водоканал,Тепловые сети, НЭСК, Ростелеком</t>
  </si>
  <si>
    <t>Монтаж ВЛИ- 0,4кВ ТП - 947 , 5-й Родниковый пр.,з/у №22А.</t>
  </si>
  <si>
    <t xml:space="preserve"> ВЛИ-0,4 кВ 
Общая стоимость                     строительства 120788,35                                             руб.,                                                                     в ценах 2001г.-18645,35 руб. </t>
  </si>
  <si>
    <t>СБЦ 2003г.                                               Раздел3.Табл.12 БЦП=1491,62; Раздел3.Табл.11п.1 стр.31  К1=2,4; Табл.11п.4 стр.31  К2=1,2;   К4=0,805; К5(удорож.)=3,99</t>
  </si>
  <si>
    <t>1491,62х2,4х1,2х0,805х3,99</t>
  </si>
  <si>
    <t>Монтаж ВЛИ- 0,4кВ, от опоры №3-03/13 ВЛИ- 0,4 кВ ТП 657, ул. Гуселковская, д.6</t>
  </si>
  <si>
    <t xml:space="preserve"> ВЛИ-0,4 кВ 
Общая стоимость                     строительства 558808,23                                             руб.,                                                                     в ценах 2001г.-86259,80 руб. </t>
  </si>
  <si>
    <t>СБЦ 2003г.                                               Раздел3.Табл.12 БЦП=6900,78; Раздел3.Табл.11п.1 стр.31  К1=2,4; Табл.11п.4 стр.31  К2=1,2;   К4=0,805; К5(удорож.)=3,99</t>
  </si>
  <si>
    <t>6900,78х2,4х1,2х0,805х3,99</t>
  </si>
  <si>
    <t xml:space="preserve"> ВЛИ-0,4 кВ 
Общая стоимость                     строительства 141800,12                                             руб.,                                                                     в ценах 2001г.-21888,81 руб. </t>
  </si>
  <si>
    <t>СБЦ 2003г.                                               Раздел3.Табл.12 БЦП=1751,10; Раздел3.Табл.11п.1 стр.31  К1=2,4; Табл.11п.4 стр.31  К2=1,2;   К4=0,805; К5(удорож.)=3,99</t>
  </si>
  <si>
    <t>1751,10х2,4х1,2х0,805х3,99</t>
  </si>
  <si>
    <t xml:space="preserve"> ВЛИ-0,4 кВ 
Общая стоимость                     строительства 89453,50                                             руб.,                                                                     в ценах 2001г.-13808,39 руб. </t>
  </si>
  <si>
    <t>СБЦ 2003г.                                               Раздел3.Табл.12 БЦП=1104,67; Раздел3.Табл.11п.1 стр.31  К1=2,4; Табл.11п.4 стр.31  К2=1,2;   К4=0,805; К5(удорож.)=3,99</t>
  </si>
  <si>
    <t>1104,67х2,4х1,2х0,805х3,99</t>
  </si>
  <si>
    <t>Монтаж ВЛИ- 0,4кВ ТП-168 от опоры №1-04/1 до опоры №1-04/2 ВЛИ- 0,4 кВ ТП 168, ул. 1-ый Парковый пр., 16/1.</t>
  </si>
  <si>
    <t>Монтаж ВЛИ- 0,4кВ ТП - 738 от опоры №1-18/8 до границ земельного участка, Новосоколовогорский жилой район, уч.8</t>
  </si>
  <si>
    <t>Монтаж ВЛИ- 0,4кВ ТП - 839 от опоры №1-05/3 до границы земельного участка, на землях с/х "Ленинский путь"</t>
  </si>
  <si>
    <t xml:space="preserve"> ВЛИ-0,4 кВ 
Общая стоимость                     строительства 155233,13                                             руб.,                                                                     в ценах 2001г.-23962,39 руб. </t>
  </si>
  <si>
    <t>СБЦ 2003г.                                               Раздел3.Табл.12 БЦП=1916,99; Раздел3.Табл.11п.1 стр.31  К1=2,4; Табл.11п.4 стр.31  К2=1,2;   К4=0,805; К5(удорож.)=3,99</t>
  </si>
  <si>
    <t>1916,99х2,4х1,2х0,805х3,99</t>
  </si>
  <si>
    <t>_____________С.В. Козин</t>
  </si>
  <si>
    <t>Генеральный директор</t>
  </si>
  <si>
    <t xml:space="preserve"> ЗАО "СПГЭС"</t>
  </si>
  <si>
    <t>Монтаж ВЛИ- 0,4кВ ТП-1106 от РУ-0,4 ТП - 1106 до ВРУ, ул. Тархова, б/н.</t>
  </si>
  <si>
    <t xml:space="preserve"> ВЛИ-0,4 кВ 
Общая стоимость                     строительства 251403,19                                             руб.,                                                                     в ценах 2001г.-38807,57 руб. </t>
  </si>
  <si>
    <t>СБЦ 2003г.                                               Раздел3.Табл.12 БЦП=3104,61; Раздел3.Табл.11п.1 стр.31  К1=2,4; Табл.11п.4 стр.31  К2=1,2;   К4=0,805; К5(удорож.)=3,99</t>
  </si>
  <si>
    <t>3104,61х2,4х1,2х0,805х3,99</t>
  </si>
  <si>
    <t>Монтаж ВЛИ- 0,4кВ ТП-464 от существующей концевой опоры №1-01/4 до д.12 по 1-у Перспективному пр.</t>
  </si>
  <si>
    <t xml:space="preserve"> ВЛИ-0,4 кВ 
Общая стоимость                     строительства 128046,33                                             руб.,                                                                     в ценах 2001г.-19765,73 руб. </t>
  </si>
  <si>
    <t>СБЦ 2003г.                                               Раздел3.Табл.12 БЦП=1581,26; Раздел3.Табл.11п.1 стр.31  К1=2,4; Табл.11п.4 стр.31  К2=1,2;   К4=0,805; К5(удорож.)=3,99</t>
  </si>
  <si>
    <t>1581,26х2,4х1,2х0,805х3,99</t>
  </si>
  <si>
    <t xml:space="preserve"> ВЛИ-0,4 кВ 
Общая стоимость                     строительства 159176,93                                             руб.,                                                                     в ценах 2001г.-24571,17 руб. </t>
  </si>
  <si>
    <t>Монтаж ВЛИ- 0,4кВ от опоры №2-00/7 ВЛИ-0,4кВ ТП-590 до границы земельного участка, ул. Охотная, б/н.</t>
  </si>
  <si>
    <t xml:space="preserve"> ВЛИ-0,4 кВ 
Общая стоимость                     строительства 81152,19                                             руб.,                                                                     в ценах 2001г.-12526,97 руб. </t>
  </si>
  <si>
    <t>Приложение №_____к договору №_____от"___"__________________2018  г.</t>
  </si>
  <si>
    <t xml:space="preserve">_____________Е.Н. Стрелин </t>
  </si>
  <si>
    <t>"___" ___________ 2018  г.</t>
  </si>
  <si>
    <t>Кабельные линии напряжением до 35 кВ интервалы протяженности свыше 100 м до 500 м</t>
  </si>
  <si>
    <t>Раздел 4.2 Табл.30 п.1  Раздел 4.2 Табл.30  столбец 7 К2(1)</t>
  </si>
  <si>
    <t xml:space="preserve">Инженерно-геодезические изыскания </t>
  </si>
  <si>
    <t>Лоскуткина С.Д. _____________________</t>
  </si>
  <si>
    <t>Монтаж ВЛИ-0,4кВ, ТП- 738, ул. Большая Долинная, Новосоколовогорский жилой район</t>
  </si>
  <si>
    <t>СБЦ 2003г.                                               Раздел3.Табл.12 БЦП=1002,16; Раздел3.Табл.11п.1 стр.31  К1=2,4; Табл.11п.4 стр.31  К2=1,2;   К4=0,805; К5(удорож.)=3,83</t>
  </si>
  <si>
    <t>1002,16х2,4х1,2х0,805х3,83</t>
  </si>
  <si>
    <t xml:space="preserve"> ВЛИ-0,4 кВ 
Общая стоимость                     строительства 19214,29                                             руб.,                                                                     в ценах 2001г.-2965,99 руб. </t>
  </si>
  <si>
    <t>СБЦ 2003г.                                               Раздел3.Табл.12 БЦП=237,28; Раздел3.Табл.11п.1 стр.31  К1=2,4; Табл.11п.4 стр.31  К2=1,2;   К4=0,805; К5(удорож.)=3,83</t>
  </si>
  <si>
    <t>237,28х2,4х1,2х0,805х3,83</t>
  </si>
  <si>
    <t>СБЦ  2012 г.  Раз.3 Табл.17 п.2
A=7,763 тыс.руб; B=0,042тыс.руб;
Осн. показ. Х=240 (м)                                                            Раздел 3.Гл.2.8. Прим.2.8.1.1     К2 =1,4; К3 =1,1 Табл.47 К4=0,565.                                 М.у.2009г.  п.1.4 К5=0,6      К6(удорож.)=3,99</t>
  </si>
  <si>
    <t xml:space="preserve">Срп(п)=(а+вх)*К2(1)*    *Кинд *К3           (0+800*5)*0,5*3,83            </t>
  </si>
  <si>
    <t>СБЦ  2012 г.  Раздел.3 Табл.17 п.1
A=7,763 тыс.руб; B=0,042 тыс.руб;
Осн. показ. Х=80  (м) Количество = 3                                                      Раздел 3.Гл.2.8. Прим.2.8.1.1     К2 =1,4; К3 =1,1 Табл.46 К4=0,555.                                 М.у.2009г.  п.1.4 К5=0,4     К6(удорож.)=3,83</t>
  </si>
  <si>
    <t>(A + B * Хзад) * Количество *  K1 * K2 * K3*К4*К5*К6
(7,763 тыс.руб + 0,042 тыс.руб*(0,4*100+0,6*80))*3*0,4*3,83*1,4*(1+0,1)*0,555</t>
  </si>
  <si>
    <t>(A + B * Хзад) * Количество *  K1 * K2 * K3*К4*К5*К6
(7,763 тыс.руб + 0,042 тыс.руб*(0,4*100+0,6*80))*3*0,6*3,83*1,4*(1+0,1)*0,565</t>
  </si>
  <si>
    <t>От п.1-4</t>
  </si>
  <si>
    <t>СБЦ 2003г.                                               Раздел3.Табл.12 БЦП=1965,70; Раздел3.Табл.11п.1 стр.31  К1=2,4; Табл.11п.4 стр.31  К2=1,2;   К4=0,805; К5(удорож.)=3,83</t>
  </si>
  <si>
    <t>1965,70х2,4х1,2х0,805х3,83</t>
  </si>
  <si>
    <t>Срп(п)=(а+вх)*К2(1)*    *Кинд *К3           (0+800*1)*0,5*3,83</t>
  </si>
  <si>
    <t>Монтаж ВЛИ- 0,4кВ от опоры №1-00/12 ВЛИ-0,4кВ ТП-1115 до границы земельного участка, ул. Кутякова, 122</t>
  </si>
  <si>
    <t xml:space="preserve"> ВЛИ-0,4 кВ 
Общая стоимость                     строительства 118320,70                                             руб.,                                                                     в ценах 2001г.-18264,45 руб. </t>
  </si>
  <si>
    <t>СБЦ 2003г.                                               Раздел3.Табл.12 БЦП=1461,16; Раздел3.Табл.11п.1 стр.31  К1=2,4; Табл.11п.4 стр.31  К2=1,2;   К4=0,805; К5(удорож.)=3,83</t>
  </si>
  <si>
    <t>1461,16х2,4х1,2х0,805х3,83</t>
  </si>
  <si>
    <t>Монтаж ВЛИ- 0,4кВ от РУ-0,4кВ РП-Новосоколовогорский до границы земельного участка, ул. Усть-Курдюмская, д.3</t>
  </si>
  <si>
    <t>Монтаж ВЛИ- 0,4кВ ТП-323 от опоры №4-00/3 до опоры №4-01/3, 5-ый Динамовский проезд, д.130А</t>
  </si>
  <si>
    <t xml:space="preserve"> ВЛИ-0,4 кВ 
Общая стоимость                     строительства 173644,93                                             руб.,                                                                     в ценах 2001г.-26804,50 руб. </t>
  </si>
  <si>
    <t>СБЦ 2003г.                                               Раздел3.Табл.12 БЦП=2144,36; Раздел3.Табл.11п.1 стр.31  К1=2,4; Табл.11п.4 стр.31  К2=1,2;   К4=0,805; К5(удорож.)=3,83</t>
  </si>
  <si>
    <t>2144,36х2,4х1,2х0,805х3,83</t>
  </si>
  <si>
    <t>Монтаж ВЛИ- 0,4кВ от опоры №1-05/3 ВЛИ-0,4кВ КТП-748 до границы земельного участка, 3-и сады, СНТ "Труд-66", уч.42</t>
  </si>
  <si>
    <t xml:space="preserve"> ВЛИ-0,4 кВ 
Общая стоимость                     строительства 143972,08                                             руб.,                                                                     в ценах 2001г.-22224,09 руб. </t>
  </si>
  <si>
    <t>СБЦ 2003г.                                               Раздел3.Табл.12 БЦП=1777,93; Раздел3.Табл.11п.1 стр.31  К1=2,4; Табл.11п.4 стр.31  К2=1,2;   К4=0,805; К5(удорож.)=3,83</t>
  </si>
  <si>
    <t>1777,93х2,4х1,2х0,805х3,83</t>
  </si>
  <si>
    <t>на рабочую документацию</t>
  </si>
  <si>
    <t>Монтаж ВЛИ- 0,4кВ от опоры №1-01/13 ВЛИ-0,4кВ ТП-353 до границы земельного участка, ул. Зерновая, б/н.</t>
  </si>
  <si>
    <t xml:space="preserve"> ВЛИ-0,4 кВ 
Общая стоимость                     строительства 123676,28                                             руб.,                                                                     в ценах 2001г.-19091,15 руб. </t>
  </si>
  <si>
    <t>СБЦ 2003г.                                               Раздел3.Табл.12 БЦП=1527,30; Раздел3.Табл.11п.1 стр.31  К1=2,4; Табл.11п.4 стр.31  К2=1,2;   К4=0,805; К5(удорож.)=3,83</t>
  </si>
  <si>
    <t>1527,30х2,4х1,2х0,805х3,83</t>
  </si>
  <si>
    <t>Монтаж ВЛИ- 0,4кВ от опоры №1-05/3 ВЛИ-0,4кВ РП-Юбилейный до границы земельного участка, Новосоколовогорский жилой район, 30.</t>
  </si>
  <si>
    <t xml:space="preserve"> ВЛИ-0,4 кВ 
Общая стоимость                     строительства 79996,38                                             руб.,                                                                     в ценах 2001г.-12348,55 руб. </t>
  </si>
  <si>
    <t>СБЦ 2003г.                                               Раздел3.Табл.12 БЦП=987,89; Раздел3.Табл.11п.1 стр.31  К1=2,4; Табл.11п.4 стр.31  К2=1,2;   К4=0,805; К5(удорож.)=3,83</t>
  </si>
  <si>
    <t>987,89х2,4х1,2х0,805х3,83</t>
  </si>
  <si>
    <t>Срп(п)=(а+вх)*К2(1)*    *Кинд *К3           (0+800*2)*0,5*3,83</t>
  </si>
  <si>
    <t>Монтаж ВЛИ- 0,4кВ от опоры №1-02/9 ВЛИ-0,4кВ КТП-997 до границы земельного участка, Новосоколовогорский жилой район, уч.№9</t>
  </si>
  <si>
    <t xml:space="preserve"> ВЛИ-0,4 кВ 
Общая стоимость                     строительства 98594,56                                             руб.,                                                                     в ценах 2001г.-15219,44 руб. </t>
  </si>
  <si>
    <t>СБЦ 2003г.                                               Раздел3.Табл.12 БЦП=1217,55; Раздел3.Табл.11п.1 стр.31  К1=2,4; Табл.11п.4 стр.31  К2=1,2;   К4=0,805; К5(удорож.)=3,83</t>
  </si>
  <si>
    <t>1217,55х2,4х1,2х0,805х3,83</t>
  </si>
  <si>
    <t>Монтаж ВЛИ- 0,4кВ от опоры №3-00/11 ВЛИ-0,4кВ ТП-177 до границы земельного участка, ул. Донская, б/н.</t>
  </si>
  <si>
    <t xml:space="preserve"> ВЛИ-0,4 кВ 
Общая стоимость                     строительства 60551,59                                             руб.,                                                                     в ценах 2001г.-9346,98 руб. </t>
  </si>
  <si>
    <t>СБЦ 2003г.                                               Раздел3.Табл.12 БЦП=747,76; Раздел3.Табл.11п.1 стр.31  К1=2,4; Табл.11п.4 стр.31  К2=1,2;   К4=0,805; К5(удорож.)=3,83</t>
  </si>
  <si>
    <t>747,76х2,4х1,2х0,805х3,83</t>
  </si>
  <si>
    <t xml:space="preserve"> ВЛИ-0,4 кВ 
Общая стоимость                     строительства 217132,93                                             руб.,                                                                     в ценах 2001г.-33517,48 руб. </t>
  </si>
  <si>
    <t>СБЦ 2003г.                                               Раздел3.Табл.12 БЦП=2681,40; Раздел3.Табл.11п.1 стр.31  К1=2,4; Табл.11п.4 стр.31  К2=1,2;   К4=0,805; К5(удорож.)=3,83</t>
  </si>
  <si>
    <t>2681,40х2,4х1,2х0,805х3,83</t>
  </si>
  <si>
    <t>Монтаж ВЛИ- 0,4кВ от опоры №1-02/4 ВЛИ-0,4кВ КТП-787 до границ земельного участка, ул. Строителей, уч. 48</t>
  </si>
  <si>
    <t xml:space="preserve">   Приложение  № _____ к договору № _______ от "____"_________________ 2018г. </t>
  </si>
  <si>
    <t>Подрядчик:</t>
  </si>
  <si>
    <t xml:space="preserve">Первый заместитель </t>
  </si>
  <si>
    <t>_____________Е.Н.Стрелин</t>
  </si>
  <si>
    <t>_____________А.Н.Куликов</t>
  </si>
  <si>
    <t>"___"  ____________  2018г.</t>
  </si>
  <si>
    <t>Смета №</t>
  </si>
  <si>
    <t>№ пп</t>
  </si>
  <si>
    <t>Характеристика предприятия, здания, сооружения или виды работ</t>
  </si>
  <si>
    <t>Стоимость, руб.</t>
  </si>
  <si>
    <t>1</t>
  </si>
  <si>
    <t>Кабельные линии напряжением до 35 кВ. Интервалы протяженности свыше 100 до 500 м.</t>
  </si>
  <si>
    <t/>
  </si>
  <si>
    <t>Стадия: Рабочая документация</t>
  </si>
  <si>
    <t>Кст = 0.6</t>
  </si>
  <si>
    <t>Ктек = 3.83
Письмо Минстроя России от 04.04.2018 №13606-ХМ/09</t>
  </si>
  <si>
    <t>K1 = 1.1
Глава 2.8, п.2.8.1.1</t>
  </si>
  <si>
    <t>K2 = 1.4
Глава 2.8, п.2.8.1.1</t>
  </si>
  <si>
    <t>(24.5% + 23.5% + 2.5% + 17.0% + 8.0% + 5.0% + 10.0%) = 90.5%</t>
  </si>
  <si>
    <t>2</t>
  </si>
  <si>
    <t>3</t>
  </si>
  <si>
    <t>4</t>
  </si>
  <si>
    <t>5</t>
  </si>
  <si>
    <t>6</t>
  </si>
  <si>
    <t>7</t>
  </si>
  <si>
    <t>8</t>
  </si>
  <si>
    <t>НДС</t>
  </si>
  <si>
    <t>9</t>
  </si>
  <si>
    <t>Составил:</t>
  </si>
  <si>
    <r>
      <t xml:space="preserve"> ВЛИ-0,4 кВ 
</t>
    </r>
    <r>
      <rPr>
        <sz val="10"/>
        <rFont val="Arial"/>
        <family val="2"/>
        <charset val="204"/>
      </rPr>
      <t xml:space="preserve">Общая стоимость                     строительства 614879,05                                             руб.,                                                                     в ценах 2001г.-94915,11 руб. </t>
    </r>
  </si>
  <si>
    <t>СБЦ 2003г.                                               Раздел3.Табл.12 БЦП=7593,21; Раздел3.Табл.11п.1 стр.31  К1=2,4; Табл.11п.4 стр.31  К2=1,2;   К4=0,805; К5(удорож.)=3,83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</si>
  <si>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1</t>
  </si>
  <si>
    <t>(A + B * Xзад) * Количество * Кст * Ктек * K2 * (1 + дроб.ч. K1)
(7763 руб + 42 руб * 150) * 1 * 0.6 * 3.83 * 1.4 * (1 + 0.1) * 0.905</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</si>
  <si>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Х=2 (2 сеть) 
Количество = 2</t>
  </si>
  <si>
    <t>(A + B * Xзад) * Количество * Кст * Ктек
(0 руб + 800 руб * 2) * 1 * 0.50 * 3.83</t>
  </si>
  <si>
    <t>7593,21х2,4х1,2х 0,805х3,83</t>
  </si>
  <si>
    <t>10% от п.4</t>
  </si>
  <si>
    <t>Сумма от п.4 - 6</t>
  </si>
  <si>
    <t>Реконструкция ВЛ-0,4 кВ по ул. Чапаева и Зарубина и ул. Чапаева и Кутякова с переводом нагрузки с ТП-63 на строящуюся ТП по ул. Гоголя, д.63. КЛ-0,4 кВ от РУ-0,4 кВ ТП-63 до ШРС у ТП-63 с подключением под общие клеммы с существующим кабелем. 2КЛ-0,4 кВ от новой ТП по ул. Гоголя, д.63 до существующей стальной опоры №1-00/4 ВЛИ-0,4 кВ ТП-69</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</si>
  <si>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</si>
  <si>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</si>
  <si>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Кст = 0.4</t>
  </si>
  <si>
    <t>(24.5% + 2.0% + 10.0% + 2.0% + 9.0% + 3.0% + 5.0%) = 55.5%</t>
  </si>
  <si>
    <t xml:space="preserve">(A + B * Xзад) * Количество * Кст * Ктек * K2 * (1 + дроб.ч. K1)
(11960руб*1*0,4*3,83*1,4*(1+0,1)*0,555 </t>
  </si>
  <si>
    <r>
      <t xml:space="preserve"> ВЛИ-0,4 кВ 
</t>
    </r>
    <r>
      <rPr>
        <sz val="10"/>
        <rFont val="Arial"/>
        <family val="2"/>
        <charset val="204"/>
      </rPr>
      <t xml:space="preserve">Общая стоимость                     строительства 288632,84                                             руб.,                                                                     в ценах 2001г.-44554,49 руб. </t>
    </r>
  </si>
  <si>
    <t>СБЦ 2003г.                                               Раздел3.Табл.12 БЦП=3564,36; Раздел3.Табл.11п.1 стр.31  К1=2,4; Табл.11п.4 стр.31  К2=1,2;   К4=0,805; К5(удорож.)=3,83</t>
  </si>
  <si>
    <t>3564,36х2,4х1,2х 0,805х3,83</t>
  </si>
  <si>
    <t>(A + B * Xзад) * Количество * Кст * Ктек
(0 руб + 800 руб * 1) * 1 * 0.50 * 3.83</t>
  </si>
  <si>
    <t>10</t>
  </si>
  <si>
    <t>Сумма от п.4 - 7</t>
  </si>
  <si>
    <t>18% от п.8</t>
  </si>
  <si>
    <t>Сумма от п.8-9</t>
  </si>
  <si>
    <t>Монтаж ВЛИ-0,4 кВ ТП-1486 от устанавливаемой пунктовой опоры до границы земельного участка, ул. Панфилова, б/н. Прокладка кабельного вывода от РУ-0,4 кВ ТП-1486 до устанавливаемой пунктовой опоры.</t>
  </si>
  <si>
    <t>"СОГЛАСОВАНО"</t>
  </si>
  <si>
    <t>"УТВЕРЖДАЮ"</t>
  </si>
  <si>
    <t>ПОДРЯДЧИК</t>
  </si>
  <si>
    <t>ЗАКАЗЧИК</t>
  </si>
  <si>
    <t xml:space="preserve">первый заместитель </t>
  </si>
  <si>
    <t>ООО "ГорЭнергоСервис"</t>
  </si>
  <si>
    <t>__________________А.Н. Куликов</t>
  </si>
  <si>
    <t xml:space="preserve">_________________Е.Н. Стрелин        </t>
  </si>
  <si>
    <t xml:space="preserve"> "_____" август 2018 г.</t>
  </si>
  <si>
    <t>Монтаж ВЛИ- 0,4кВ ТП-564 от существующей ж/б опоры №1-00/17 до границ земельного участка, ул. Зерновая, уч.28А</t>
  </si>
  <si>
    <t xml:space="preserve"> ВЛИ-0,4 кВ 
Общая стоимость                     строительства 399456,20                                             руб.,                                                                     в ценах 2001г.-61661,61 руб. </t>
  </si>
  <si>
    <t>СБЦ 2003г.                                               Раздел3.Табл.12 БЦП=4932,93; Раздел3.Табл.11п.1 стр.31  К1=2,4; Табл.11п.4 стр.31  К2=1,2;   К4=0,805; К5(удорож.)=3,83</t>
  </si>
  <si>
    <t>4932,93х2,4х1,2х0,805х3,83</t>
  </si>
  <si>
    <t>Монтаж ВЛИ- 0,4кВ ТП-347 от опоры №5-00/1 до опоры №4-00/13, ул. Старая Большая  Поливановка,  д. 66</t>
  </si>
  <si>
    <t xml:space="preserve"> ВЛИ-0,4 кВ 
Общая стоимость                     строительства 531616,53                                             руб.,                                                                     в ценах 2001г.-82062,39 руб. </t>
  </si>
  <si>
    <t>СБЦ 2003г.                                               Раздел3.Табл.12 БЦП=6565,00; Раздел3.Табл.11п.1 стр.31  К1=2,4; Табл.11п.4 стр.31  К2=1,2;   К4=0,805; К5(удорож.)=3,83</t>
  </si>
  <si>
    <t>6565,00х2,4х1,2х0,805х3,83</t>
  </si>
  <si>
    <t xml:space="preserve"> "_____" ________________ 2018 г.</t>
  </si>
  <si>
    <t xml:space="preserve"> "_____" _______________2018 г.</t>
  </si>
  <si>
    <t>Монтаж ВЛИ- 0,4кВ КТП-946 от опоры №2-01/3 до границы земельного участка, ул. Песчано-Уметская, б/н.</t>
  </si>
  <si>
    <t>НДС 20%</t>
  </si>
  <si>
    <t xml:space="preserve"> ВЛИ-0,4 кВ 
Общая стоимость                     строительства 108662,14                                             руб.,                                                                     в ценах 2001г.-16493,95 руб. </t>
  </si>
  <si>
    <t>СБЦ 2003г.                                               Раздел3.Табл.12 БЦП=1319,52; Раздел3.Табл.11п.1 стр.31  К1=2,4; Табл.11п.4 стр.31  К2=1,2;   К4=0,805; К5(удорож.)=3,83</t>
  </si>
  <si>
    <t>1319,52х2,4х1,2х0,805х3,83</t>
  </si>
  <si>
    <t>Монтаж ВЛИ- 0,4кВ от опоры №1-00/1 ТП-447 до опоры №1-00/6, ул. 1-я Поперечная и 1-я Линия.</t>
  </si>
  <si>
    <t xml:space="preserve"> ВЛИ-0,4 кВ 
Общая стоимость                     строительства 92282,48                                             руб.,                                                                     в ценах 2001г.-14007,67 руб. </t>
  </si>
  <si>
    <t>СБЦ 2003г.                                               Раздел3.Табл.12 БЦП=1120,62; Раздел3.Табл.11п.1 стр.31  К1=2,4; Табл.11п.4 стр.31  К2=1,2;   К4=0,805; К5(удорож.)=3,83</t>
  </si>
  <si>
    <t>1120,62х2,4х1,2х0,805х3,83</t>
  </si>
  <si>
    <t>От п.1-3</t>
  </si>
  <si>
    <t>п.4</t>
  </si>
  <si>
    <t>От п.4-5</t>
  </si>
  <si>
    <t>___________________________</t>
  </si>
  <si>
    <t>Монтаж ВЛИ- 0,4кВ ТП-206 от опоры №2-00/4 до опоры №2-00/11 и от опоры №2-00/4 до опоры №2-03/7, Утесный проезд, д.2-д.38.</t>
  </si>
  <si>
    <t xml:space="preserve"> ВЛИ-0,4 кВ 
Общая стоимость                     строительства 781967,57                                             руб.,                                                                     в ценах 2001г.-118695,75 руб. </t>
  </si>
  <si>
    <t>СБЦ 2003г.                                               Раздел3.Табл.12 БЦП=9495,66; Раздел3.Табл.11п.1 стр.31  К1=2,4; Табл.11п.4 стр.31  К2=1,2;   К4=0,805; К5(удорож.)=3,83</t>
  </si>
  <si>
    <t>9495,66х2,4х1,2х0,805х3,83</t>
  </si>
  <si>
    <t>__________________________________</t>
  </si>
  <si>
    <t>от п.1-5</t>
  </si>
  <si>
    <t>от п.6</t>
  </si>
  <si>
    <t>от п.6-7</t>
  </si>
  <si>
    <t xml:space="preserve"> "_____" ______________ 2018 г.</t>
  </si>
  <si>
    <t>__________________________</t>
  </si>
  <si>
    <t>Монтаж ВЛ-0,4кВ от РУ-0,4 кВ РП-Нагорный до энергопринимающего устройства заявителя, 5-ый Нагорный проезд,16</t>
  </si>
  <si>
    <r>
      <t xml:space="preserve"> ВЛИ-0,4 кВ 
</t>
    </r>
    <r>
      <rPr>
        <sz val="10"/>
        <rFont val="Arial"/>
        <family val="2"/>
        <charset val="204"/>
      </rPr>
      <t xml:space="preserve">Общая стоимость                     строительства 122500,21                                             руб.,                                                                     в ценах 2001г.-18594,44 руб. </t>
    </r>
  </si>
  <si>
    <t>СБЦ 2003г.                                               Раздел3.Табл.12 БЦП=1487,55; Раздел3.Табл.11п.1 стр.31  К1=2,4; Табл.11п.4 стр.31  К2=1,2;   К4=0,805; К5(удорож.)=3,83</t>
  </si>
  <si>
    <t>20% от п.8</t>
  </si>
  <si>
    <t>1487,55х2,4х1,2х0,805х3,83</t>
  </si>
  <si>
    <t>____________________</t>
  </si>
  <si>
    <t>сумма п.1-5</t>
  </si>
  <si>
    <t>20% п.6</t>
  </si>
  <si>
    <t>сумма п.6-7</t>
  </si>
  <si>
    <t>Приложение №_____к договору №_____от"___"__________________201  г.</t>
  </si>
  <si>
    <t xml:space="preserve"> "_____" ________________ 201   г.</t>
  </si>
  <si>
    <t xml:space="preserve"> "_____" _______________201   г.</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</si>
</sst>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2"/>
      <name val="Times New Roman"/>
      <family val="1"/>
      <charset val="204"/>
    </font>
    <font>
      <sz val="10"/>
      <name val="Arial"/>
      <family val="2"/>
      <charset val="204"/>
    </font>
    <font>
      <sz val="12"/>
      <color indexed="8"/>
      <name val="Times New Roman"/>
      <family val="1"/>
      <charset val="204"/>
    </font>
    <font>
      <b/>
      <sz val="12"/>
      <name val="Times New Roman"/>
      <family val="1"/>
      <charset val="204"/>
    </font>
    <font>
      <b/>
      <sz val="11"/>
      <name val="Times New Roman"/>
      <family val="1"/>
      <charset val="204"/>
    </font>
    <font>
      <b/>
      <sz val="12"/>
      <color indexed="8"/>
      <name val="Times New Roman"/>
      <family val="1"/>
      <charset val="204"/>
    </font>
    <font>
      <sz val="10"/>
      <name val="Arial Cyr"/>
      <charset val="204"/>
    </font>
    <font>
      <b/>
      <sz val="12"/>
      <name val="Arial"/>
      <family val="2"/>
      <charset val="204"/>
    </font>
    <font>
      <sz val="8"/>
      <name val="Arial"/>
      <family val="2"/>
      <charset val="204"/>
    </font>
    <font>
      <sz val="8"/>
      <color indexed="8"/>
      <name val="Arial"/>
      <family val="2"/>
      <charset val="204"/>
    </font>
    <font>
      <sz val="9"/>
      <name val="Arial"/>
      <family val="2"/>
      <charset val="204"/>
    </font>
    <font>
      <b/>
      <sz val="10"/>
      <name val="Arial"/>
      <family val="2"/>
      <charset val="204"/>
    </font>
    <font>
      <b/>
      <sz val="10"/>
      <name val="Times New Roman"/>
      <family val="1"/>
      <charset val="204"/>
    </font>
    <font>
      <sz val="9"/>
      <name val="Times New Roman"/>
      <family val="1"/>
      <charset val="204"/>
    </font>
    <font>
      <sz val="8"/>
      <name val="Times New Roman"/>
      <family val="1"/>
      <charset val="204"/>
    </font>
    <font>
      <sz val="10"/>
      <name val="Times New Roman"/>
      <family val="1"/>
      <charset val="204"/>
    </font>
    <font>
      <b/>
      <sz val="9"/>
      <name val="Times New Roman"/>
      <family val="1"/>
      <charset val="204"/>
    </font>
    <font>
      <sz val="12"/>
      <name val="Arial Cyr"/>
      <charset val="204"/>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64"/>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style="thin">
        <color indexed="8"/>
      </left>
      <right style="thin">
        <color indexed="8"/>
      </right>
      <top style="thin">
        <color indexed="8"/>
      </top>
      <bottom/>
      <diagonal/>
    </border>
  </borders>
  <cellStyleXfs count="4">
    <xf numFmtId="0" fontId="0" fillId="0" borderId="0"/>
    <xf numFmtId="0" fontId="2" fillId="0" borderId="0"/>
    <xf numFmtId="0" fontId="7" fillId="0" borderId="0"/>
    <xf numFmtId="0" fontId="2" fillId="0" borderId="0"/>
  </cellStyleXfs>
  <cellXfs count="179">
    <xf numFmtId="0" fontId="0" fillId="0" borderId="0" xfId="0"/>
    <xf numFmtId="0" fontId="1" fillId="0" borderId="0" xfId="0" applyFont="1"/>
    <xf numFmtId="0" fontId="3" fillId="0" borderId="0" xfId="1" applyFont="1"/>
    <xf numFmtId="0" fontId="2" fillId="0" borderId="0" xfId="1"/>
    <xf numFmtId="0" fontId="3" fillId="0" borderId="0" xfId="0" applyFont="1"/>
    <xf numFmtId="0" fontId="3" fillId="0" borderId="0" xfId="0" applyFont="1" applyAlignment="1">
      <alignment horizontal="left" vertical="center"/>
    </xf>
    <xf numFmtId="0" fontId="1" fillId="0" borderId="0" xfId="0" applyFont="1" applyAlignment="1">
      <alignment horizontal="left" vertical="center"/>
    </xf>
    <xf numFmtId="0" fontId="4" fillId="0" borderId="0" xfId="0" applyFont="1" applyAlignment="1">
      <alignment horizontal="center"/>
    </xf>
    <xf numFmtId="0" fontId="6" fillId="0" borderId="0" xfId="0" applyFont="1" applyAlignment="1">
      <alignment horizontal="center"/>
    </xf>
    <xf numFmtId="0" fontId="1" fillId="0" borderId="1" xfId="0" applyFont="1" applyBorder="1" applyAlignment="1">
      <alignment horizontal="center" vertical="top" wrapText="1"/>
    </xf>
    <xf numFmtId="0" fontId="4" fillId="0" borderId="2" xfId="0" applyFont="1" applyBorder="1" applyAlignment="1">
      <alignment horizontal="center" vertical="center"/>
    </xf>
    <xf numFmtId="0" fontId="1" fillId="0" borderId="2" xfId="2" applyFont="1" applyBorder="1" applyAlignment="1">
      <alignment horizontal="center" vertical="center" wrapText="1"/>
    </xf>
    <xf numFmtId="0" fontId="1" fillId="0" borderId="3" xfId="0" applyFont="1" applyBorder="1" applyAlignment="1">
      <alignment horizontal="center" vertical="center" wrapText="1"/>
    </xf>
    <xf numFmtId="2" fontId="1" fillId="0" borderId="2" xfId="0" applyNumberFormat="1" applyFont="1" applyBorder="1" applyAlignment="1">
      <alignment horizontal="center" vertical="center"/>
    </xf>
    <xf numFmtId="0" fontId="1" fillId="0" borderId="4" xfId="0" applyFont="1" applyBorder="1" applyAlignment="1">
      <alignment horizontal="center" vertical="center" wrapText="1"/>
    </xf>
    <xf numFmtId="0" fontId="1" fillId="0" borderId="3" xfId="0" applyFont="1" applyBorder="1" applyAlignment="1">
      <alignment horizontal="center"/>
    </xf>
    <xf numFmtId="2" fontId="1" fillId="0" borderId="3" xfId="0" applyNumberFormat="1" applyFont="1" applyBorder="1" applyAlignment="1">
      <alignment horizontal="center"/>
    </xf>
    <xf numFmtId="2" fontId="1" fillId="0" borderId="2" xfId="0" applyNumberFormat="1" applyFont="1" applyBorder="1" applyAlignment="1">
      <alignment horizontal="center"/>
    </xf>
    <xf numFmtId="0" fontId="1" fillId="0" borderId="2" xfId="0" applyFont="1" applyBorder="1"/>
    <xf numFmtId="0" fontId="4" fillId="0" borderId="3" xfId="0" applyFont="1" applyBorder="1" applyAlignment="1">
      <alignment horizontal="left"/>
    </xf>
    <xf numFmtId="0" fontId="1" fillId="0" borderId="0" xfId="0" applyFont="1" applyBorder="1"/>
    <xf numFmtId="0" fontId="4" fillId="0" borderId="0" xfId="0" applyFont="1" applyBorder="1" applyAlignment="1">
      <alignment horizontal="left"/>
    </xf>
    <xf numFmtId="0" fontId="1" fillId="0" borderId="0" xfId="0" applyFont="1" applyBorder="1" applyAlignment="1">
      <alignment horizontal="center"/>
    </xf>
    <xf numFmtId="2" fontId="1" fillId="0" borderId="0" xfId="0" applyNumberFormat="1" applyFont="1" applyBorder="1" applyAlignment="1">
      <alignment horizontal="center"/>
    </xf>
    <xf numFmtId="0" fontId="1" fillId="0" borderId="3" xfId="0" applyFont="1" applyBorder="1" applyAlignment="1">
      <alignment horizontal="center" wrapText="1"/>
    </xf>
    <xf numFmtId="2" fontId="1" fillId="0" borderId="3" xfId="0" applyNumberFormat="1" applyFont="1" applyBorder="1" applyAlignment="1">
      <alignment horizontal="center" wrapText="1"/>
    </xf>
    <xf numFmtId="0" fontId="4" fillId="0" borderId="3" xfId="0" applyFont="1" applyBorder="1" applyAlignment="1">
      <alignment horizontal="center"/>
    </xf>
    <xf numFmtId="2" fontId="4" fillId="0" borderId="2" xfId="0" applyNumberFormat="1" applyFont="1" applyBorder="1" applyAlignment="1">
      <alignment horizontal="center"/>
    </xf>
    <xf numFmtId="0" fontId="4" fillId="0" borderId="2" xfId="0" applyFont="1" applyBorder="1" applyAlignment="1">
      <alignment horizontal="center"/>
    </xf>
    <xf numFmtId="0" fontId="1" fillId="0" borderId="3" xfId="0" applyFont="1" applyBorder="1" applyAlignment="1">
      <alignment horizontal="center" vertical="top" wrapText="1"/>
    </xf>
    <xf numFmtId="0" fontId="4" fillId="0" borderId="0" xfId="0" applyFont="1" applyAlignment="1">
      <alignment horizontal="center" wrapText="1"/>
    </xf>
    <xf numFmtId="0" fontId="5" fillId="0" borderId="0" xfId="0" applyFont="1" applyAlignment="1">
      <alignment horizontal="center" vertical="center" wrapText="1"/>
    </xf>
    <xf numFmtId="0" fontId="1" fillId="0" borderId="4" xfId="0" applyFont="1" applyBorder="1" applyAlignment="1">
      <alignment horizontal="center" vertical="center" wrapText="1"/>
    </xf>
    <xf numFmtId="0" fontId="4" fillId="0" borderId="2" xfId="0" applyFont="1" applyBorder="1" applyAlignment="1">
      <alignment horizontal="center" vertical="center" wrapText="1"/>
    </xf>
    <xf numFmtId="2" fontId="1" fillId="0" borderId="7" xfId="0" applyNumberFormat="1"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left"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2" fillId="0" borderId="0" xfId="1" applyNumberFormat="1" applyFont="1" applyAlignment="1">
      <alignment wrapText="1"/>
    </xf>
    <xf numFmtId="0" fontId="2" fillId="0" borderId="0" xfId="1" applyNumberFormat="1" applyFont="1"/>
    <xf numFmtId="0" fontId="1" fillId="0" borderId="0" xfId="1" applyFont="1"/>
    <xf numFmtId="0" fontId="3" fillId="0" borderId="0" xfId="1" applyFont="1" applyAlignment="1">
      <alignment horizontal="left" vertical="center"/>
    </xf>
    <xf numFmtId="0" fontId="1" fillId="0" borderId="0" xfId="1" applyFont="1" applyAlignment="1">
      <alignment horizontal="left" vertical="center"/>
    </xf>
    <xf numFmtId="0" fontId="9" fillId="0" borderId="0" xfId="1" applyNumberFormat="1" applyFont="1" applyAlignment="1">
      <alignment horizontal="left"/>
    </xf>
    <xf numFmtId="0" fontId="9" fillId="0" borderId="0" xfId="1" applyNumberFormat="1" applyFont="1" applyAlignment="1"/>
    <xf numFmtId="0" fontId="10" fillId="0" borderId="0" xfId="1" applyNumberFormat="1" applyFont="1" applyBorder="1" applyAlignment="1">
      <alignment horizontal="right" vertical="top"/>
    </xf>
    <xf numFmtId="0" fontId="4" fillId="0" borderId="0" xfId="3" applyFont="1" applyAlignment="1"/>
    <xf numFmtId="0" fontId="4" fillId="0" borderId="0" xfId="3" applyFont="1" applyAlignment="1">
      <alignment horizontal="center" vertical="center" wrapText="1"/>
    </xf>
    <xf numFmtId="0" fontId="11" fillId="0" borderId="8" xfId="1" applyNumberFormat="1" applyFont="1" applyBorder="1" applyAlignment="1">
      <alignment horizontal="center" vertical="top" wrapText="1"/>
    </xf>
    <xf numFmtId="0" fontId="9" fillId="0" borderId="8" xfId="1" applyNumberFormat="1" applyFont="1" applyBorder="1" applyAlignment="1">
      <alignment horizontal="center" vertical="top" wrapText="1"/>
    </xf>
    <xf numFmtId="0" fontId="2" fillId="0" borderId="8" xfId="1" applyNumberFormat="1" applyFont="1" applyBorder="1" applyAlignment="1">
      <alignment horizontal="center" wrapText="1"/>
    </xf>
    <xf numFmtId="49" fontId="12" fillId="0" borderId="1" xfId="1" applyNumberFormat="1" applyFont="1" applyBorder="1" applyAlignment="1">
      <alignment horizontal="right" vertical="top" wrapText="1"/>
    </xf>
    <xf numFmtId="0" fontId="2" fillId="0" borderId="1" xfId="1" applyNumberFormat="1" applyFont="1" applyBorder="1" applyAlignment="1">
      <alignment horizontal="left" vertical="top" wrapText="1"/>
    </xf>
    <xf numFmtId="4" fontId="2" fillId="0" borderId="1" xfId="1" applyNumberFormat="1" applyFont="1" applyBorder="1" applyAlignment="1">
      <alignment horizontal="right" vertical="top" wrapText="1"/>
    </xf>
    <xf numFmtId="49" fontId="12" fillId="0" borderId="17" xfId="1" applyNumberFormat="1" applyFont="1" applyBorder="1" applyAlignment="1">
      <alignment horizontal="right" vertical="top" wrapText="1"/>
    </xf>
    <xf numFmtId="0" fontId="12" fillId="0" borderId="17" xfId="1" applyNumberFormat="1" applyFont="1" applyBorder="1" applyAlignment="1">
      <alignment horizontal="left" vertical="top" wrapText="1"/>
    </xf>
    <xf numFmtId="0" fontId="12" fillId="0" borderId="17" xfId="1" applyNumberFormat="1" applyFont="1" applyBorder="1" applyAlignment="1">
      <alignment horizontal="right" vertical="top" wrapText="1"/>
    </xf>
    <xf numFmtId="49" fontId="12" fillId="0" borderId="21" xfId="1" applyNumberFormat="1" applyFont="1" applyBorder="1" applyAlignment="1">
      <alignment horizontal="right" vertical="top" wrapText="1"/>
    </xf>
    <xf numFmtId="0" fontId="2" fillId="0" borderId="21" xfId="1" applyNumberFormat="1" applyFont="1" applyBorder="1" applyAlignment="1">
      <alignment horizontal="left" vertical="top" wrapText="1"/>
    </xf>
    <xf numFmtId="0" fontId="2" fillId="0" borderId="21" xfId="1" applyNumberFormat="1" applyFont="1" applyBorder="1" applyAlignment="1">
      <alignment horizontal="right" vertical="top" wrapText="1"/>
    </xf>
    <xf numFmtId="49" fontId="12" fillId="0" borderId="7" xfId="1" applyNumberFormat="1" applyFont="1" applyBorder="1" applyAlignment="1">
      <alignment horizontal="right" vertical="top" wrapText="1"/>
    </xf>
    <xf numFmtId="0" fontId="2" fillId="0" borderId="7" xfId="1" applyNumberFormat="1" applyFont="1" applyBorder="1" applyAlignment="1">
      <alignment horizontal="left" vertical="top" wrapText="1"/>
    </xf>
    <xf numFmtId="0" fontId="2" fillId="0" borderId="7" xfId="1" applyNumberFormat="1" applyFont="1" applyBorder="1" applyAlignment="1">
      <alignment horizontal="right" vertical="top" wrapText="1"/>
    </xf>
    <xf numFmtId="49" fontId="12" fillId="0" borderId="27" xfId="1" applyNumberFormat="1" applyFont="1" applyBorder="1" applyAlignment="1">
      <alignment horizontal="right" vertical="top" wrapText="1"/>
    </xf>
    <xf numFmtId="0" fontId="2" fillId="0" borderId="27" xfId="1" applyNumberFormat="1" applyFont="1" applyBorder="1" applyAlignment="1">
      <alignment horizontal="left" vertical="top" wrapText="1"/>
    </xf>
    <xf numFmtId="4" fontId="2" fillId="0" borderId="27" xfId="1" applyNumberFormat="1" applyFont="1" applyBorder="1" applyAlignment="1">
      <alignment horizontal="right" vertical="top" wrapText="1"/>
    </xf>
    <xf numFmtId="0" fontId="12" fillId="0" borderId="7" xfId="1" applyNumberFormat="1" applyFont="1" applyBorder="1" applyAlignment="1">
      <alignment horizontal="left" vertical="top" wrapText="1"/>
    </xf>
    <xf numFmtId="4" fontId="12" fillId="0" borderId="7" xfId="1" applyNumberFormat="1" applyFont="1" applyBorder="1" applyAlignment="1">
      <alignment horizontal="right" vertical="top" wrapText="1"/>
    </xf>
    <xf numFmtId="49" fontId="12" fillId="0" borderId="2" xfId="1" applyNumberFormat="1" applyFont="1" applyBorder="1" applyAlignment="1">
      <alignment horizontal="right" vertical="top" wrapText="1"/>
    </xf>
    <xf numFmtId="0" fontId="2" fillId="0" borderId="2" xfId="1" applyNumberFormat="1" applyFont="1" applyBorder="1" applyAlignment="1">
      <alignment horizontal="left" vertical="top" wrapText="1"/>
    </xf>
    <xf numFmtId="4" fontId="2" fillId="0" borderId="2" xfId="1" applyNumberFormat="1" applyFont="1" applyBorder="1" applyAlignment="1">
      <alignment horizontal="right" vertical="top" wrapText="1"/>
    </xf>
    <xf numFmtId="0" fontId="12" fillId="0" borderId="2" xfId="1" applyNumberFormat="1" applyFont="1" applyBorder="1" applyAlignment="1">
      <alignment horizontal="left" vertical="top" wrapText="1"/>
    </xf>
    <xf numFmtId="4" fontId="12" fillId="0" borderId="2" xfId="1" applyNumberFormat="1" applyFont="1" applyBorder="1" applyAlignment="1">
      <alignment horizontal="right" vertical="top" wrapText="1"/>
    </xf>
    <xf numFmtId="0" fontId="2" fillId="0" borderId="3" xfId="0" applyFont="1" applyBorder="1" applyAlignment="1">
      <alignment horizontal="center" vertical="center" wrapText="1"/>
    </xf>
    <xf numFmtId="2" fontId="2" fillId="0" borderId="2" xfId="0" applyNumberFormat="1" applyFont="1" applyBorder="1" applyAlignment="1">
      <alignment horizontal="right" vertical="top"/>
    </xf>
    <xf numFmtId="0" fontId="2" fillId="0" borderId="27" xfId="1" applyNumberFormat="1" applyFont="1" applyBorder="1" applyAlignment="1">
      <alignment horizontal="right" vertical="top" wrapText="1"/>
    </xf>
    <xf numFmtId="49" fontId="2" fillId="0" borderId="40" xfId="1" applyNumberFormat="1" applyFont="1" applyBorder="1" applyAlignment="1">
      <alignment horizontal="center" wrapText="1"/>
    </xf>
    <xf numFmtId="49" fontId="12" fillId="0" borderId="2" xfId="1" applyNumberFormat="1" applyFont="1" applyBorder="1" applyAlignment="1">
      <alignment horizontal="center" vertical="top" wrapText="1"/>
    </xf>
    <xf numFmtId="0" fontId="2" fillId="0" borderId="40" xfId="1" applyNumberFormat="1" applyFont="1" applyBorder="1" applyAlignment="1">
      <alignment horizontal="center" wrapText="1"/>
    </xf>
    <xf numFmtId="0" fontId="12" fillId="0" borderId="21" xfId="1" applyNumberFormat="1" applyFont="1" applyBorder="1" applyAlignment="1">
      <alignment horizontal="right" vertical="top" wrapText="1"/>
    </xf>
    <xf numFmtId="0" fontId="13" fillId="0" borderId="0" xfId="0" applyFont="1" applyAlignment="1">
      <alignment horizontal="left" vertical="top"/>
    </xf>
    <xf numFmtId="0" fontId="14" fillId="0" borderId="0" xfId="0" applyFont="1" applyAlignment="1">
      <alignment horizontal="center" vertical="top" wrapText="1"/>
    </xf>
    <xf numFmtId="0" fontId="15" fillId="0" borderId="0" xfId="0" applyFont="1" applyBorder="1"/>
    <xf numFmtId="0" fontId="16" fillId="0" borderId="0" xfId="0" applyFont="1" applyAlignment="1">
      <alignment horizontal="left" vertical="top"/>
    </xf>
    <xf numFmtId="0" fontId="17" fillId="0" borderId="0" xfId="0" applyFont="1" applyAlignment="1">
      <alignment horizontal="center" vertical="top" wrapText="1"/>
    </xf>
    <xf numFmtId="0" fontId="1" fillId="0" borderId="0" xfId="0" applyFont="1" applyAlignment="1">
      <alignment horizontal="left" vertical="top"/>
    </xf>
    <xf numFmtId="0" fontId="1" fillId="0" borderId="0" xfId="0" applyFont="1" applyAlignment="1">
      <alignment horizontal="center" vertical="top" wrapText="1"/>
    </xf>
    <xf numFmtId="0" fontId="1" fillId="0" borderId="0" xfId="0" applyFont="1" applyAlignment="1">
      <alignment horizontal="right" vertical="top"/>
    </xf>
    <xf numFmtId="0" fontId="1" fillId="0" borderId="0" xfId="0" applyFont="1" applyAlignment="1">
      <alignment vertical="center"/>
    </xf>
    <xf numFmtId="0" fontId="18" fillId="0" borderId="0" xfId="0" applyFont="1" applyAlignment="1">
      <alignment vertical="top"/>
    </xf>
    <xf numFmtId="0" fontId="14" fillId="0" borderId="0" xfId="0" applyFont="1" applyAlignment="1">
      <alignment horizontal="left" vertical="top"/>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2" fontId="2" fillId="0" borderId="7" xfId="0" applyNumberFormat="1" applyFont="1" applyBorder="1" applyAlignment="1">
      <alignment horizontal="right" vertical="center"/>
    </xf>
    <xf numFmtId="0" fontId="2" fillId="0" borderId="9" xfId="1" applyNumberFormat="1" applyFont="1" applyBorder="1" applyAlignment="1">
      <alignment horizontal="center" wrapText="1"/>
    </xf>
    <xf numFmtId="0" fontId="11" fillId="0" borderId="40" xfId="1" applyNumberFormat="1" applyFont="1" applyBorder="1" applyAlignment="1">
      <alignment horizontal="center" vertical="top" wrapText="1"/>
    </xf>
    <xf numFmtId="0" fontId="2" fillId="0" borderId="2" xfId="1" applyNumberFormat="1" applyFont="1" applyBorder="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5" fillId="0" borderId="0" xfId="0" applyFont="1" applyAlignment="1">
      <alignment horizontal="center" vertical="center" wrapText="1"/>
    </xf>
    <xf numFmtId="0" fontId="5" fillId="0" borderId="2" xfId="0" applyFont="1" applyBorder="1" applyAlignment="1">
      <alignment horizontal="center" wrapText="1"/>
    </xf>
    <xf numFmtId="0" fontId="1" fillId="0" borderId="2" xfId="0" applyFont="1" applyBorder="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xf numFmtId="0" fontId="1" fillId="0" borderId="1" xfId="0" applyFont="1" applyBorder="1" applyAlignment="1">
      <alignment horizontal="center" vertical="center" wrapText="1"/>
    </xf>
    <xf numFmtId="0" fontId="1" fillId="0" borderId="7" xfId="0" applyFont="1" applyBorder="1" applyAlignment="1">
      <alignment horizontal="center" vertical="center"/>
    </xf>
    <xf numFmtId="0" fontId="2" fillId="0" borderId="0" xfId="1" applyNumberFormat="1" applyFont="1" applyAlignment="1">
      <alignment horizontal="center" wrapText="1"/>
    </xf>
    <xf numFmtId="0" fontId="8" fillId="0" borderId="0" xfId="1" applyNumberFormat="1" applyFont="1" applyBorder="1" applyAlignment="1">
      <alignment horizontal="center" vertical="top" wrapText="1"/>
    </xf>
    <xf numFmtId="0" fontId="2" fillId="0" borderId="0" xfId="1" applyNumberFormat="1" applyFont="1" applyBorder="1" applyAlignment="1">
      <alignment horizontal="center" vertical="center"/>
    </xf>
    <xf numFmtId="0" fontId="2" fillId="0" borderId="0" xfId="1" applyNumberFormat="1" applyBorder="1" applyAlignment="1">
      <alignment horizontal="center" vertical="center"/>
    </xf>
    <xf numFmtId="0" fontId="4" fillId="0" borderId="0" xfId="3" applyFont="1" applyAlignment="1">
      <alignment horizontal="center" vertical="top" wrapText="1"/>
    </xf>
    <xf numFmtId="0" fontId="11" fillId="0" borderId="9" xfId="1" applyNumberFormat="1" applyFont="1" applyBorder="1" applyAlignment="1">
      <alignment horizontal="center" vertical="top" wrapText="1"/>
    </xf>
    <xf numFmtId="0" fontId="11" fillId="0" borderId="10" xfId="1" applyNumberFormat="1" applyFont="1" applyBorder="1" applyAlignment="1">
      <alignment horizontal="center" vertical="top" wrapText="1"/>
    </xf>
    <xf numFmtId="0" fontId="11" fillId="0" borderId="11" xfId="1" applyNumberFormat="1" applyFont="1" applyBorder="1" applyAlignment="1">
      <alignment horizontal="center" vertical="top" wrapText="1"/>
    </xf>
    <xf numFmtId="0" fontId="2" fillId="0" borderId="12" xfId="1" applyNumberFormat="1" applyFont="1" applyBorder="1" applyAlignment="1">
      <alignment horizontal="center" wrapText="1"/>
    </xf>
    <xf numFmtId="0" fontId="2" fillId="0" borderId="13" xfId="1" applyNumberFormat="1" applyFont="1" applyBorder="1" applyAlignment="1">
      <alignment horizontal="center" wrapText="1"/>
    </xf>
    <xf numFmtId="0" fontId="2" fillId="0" borderId="14" xfId="1" applyNumberFormat="1" applyFont="1" applyBorder="1" applyAlignment="1">
      <alignment horizontal="center" wrapText="1"/>
    </xf>
    <xf numFmtId="0" fontId="12" fillId="0" borderId="5" xfId="1" applyNumberFormat="1" applyFont="1" applyBorder="1" applyAlignment="1">
      <alignment horizontal="left" vertical="top" wrapText="1"/>
    </xf>
    <xf numFmtId="0" fontId="12" fillId="0" borderId="15" xfId="1" applyNumberFormat="1" applyFont="1" applyBorder="1" applyAlignment="1">
      <alignment horizontal="left" vertical="top" wrapText="1"/>
    </xf>
    <xf numFmtId="0" fontId="2" fillId="0" borderId="5" xfId="1" applyNumberFormat="1" applyBorder="1" applyAlignment="1">
      <alignment horizontal="left" vertical="top" wrapText="1"/>
    </xf>
    <xf numFmtId="0" fontId="2" fillId="0" borderId="16" xfId="1" applyNumberFormat="1" applyBorder="1" applyAlignment="1">
      <alignment horizontal="left" vertical="top" wrapText="1"/>
    </xf>
    <xf numFmtId="0" fontId="2" fillId="0" borderId="15" xfId="1" applyNumberFormat="1" applyBorder="1" applyAlignment="1">
      <alignment horizontal="left" vertical="top" wrapText="1"/>
    </xf>
    <xf numFmtId="0" fontId="12" fillId="0" borderId="18" xfId="1" applyNumberFormat="1" applyFont="1" applyBorder="1" applyAlignment="1">
      <alignment horizontal="left" vertical="top" wrapText="1"/>
    </xf>
    <xf numFmtId="0" fontId="12" fillId="0" borderId="19" xfId="1" applyNumberFormat="1" applyFont="1" applyBorder="1" applyAlignment="1">
      <alignment horizontal="left" vertical="top" wrapText="1"/>
    </xf>
    <xf numFmtId="0" fontId="12" fillId="0" borderId="20" xfId="1" applyNumberFormat="1" applyFont="1" applyBorder="1" applyAlignment="1">
      <alignment horizontal="left" vertical="top" wrapText="1"/>
    </xf>
    <xf numFmtId="0" fontId="2" fillId="0" borderId="22" xfId="1" applyNumberFormat="1" applyFont="1" applyBorder="1" applyAlignment="1">
      <alignment horizontal="left" vertical="top" wrapText="1"/>
    </xf>
    <xf numFmtId="0" fontId="2" fillId="0" borderId="23" xfId="1" applyNumberFormat="1" applyFont="1" applyBorder="1" applyAlignment="1">
      <alignment horizontal="left" vertical="top" wrapText="1"/>
    </xf>
    <xf numFmtId="0" fontId="2" fillId="0" borderId="24" xfId="1" applyNumberFormat="1" applyFont="1" applyBorder="1" applyAlignment="1">
      <alignment horizontal="left" vertical="top" wrapText="1"/>
    </xf>
    <xf numFmtId="0" fontId="2" fillId="0" borderId="4" xfId="1" applyNumberFormat="1" applyFont="1" applyBorder="1" applyAlignment="1">
      <alignment horizontal="left" vertical="top" wrapText="1"/>
    </xf>
    <xf numFmtId="0" fontId="2" fillId="0" borderId="25" xfId="1" applyNumberFormat="1" applyFont="1" applyBorder="1" applyAlignment="1">
      <alignment horizontal="left" vertical="top" wrapText="1"/>
    </xf>
    <xf numFmtId="0" fontId="2" fillId="0" borderId="26" xfId="1" applyNumberFormat="1" applyFont="1" applyBorder="1" applyAlignment="1">
      <alignment horizontal="left" vertical="top" wrapText="1"/>
    </xf>
    <xf numFmtId="0" fontId="12" fillId="0" borderId="3" xfId="1" applyNumberFormat="1" applyFont="1" applyBorder="1" applyAlignment="1">
      <alignment horizontal="left" vertical="top" wrapText="1"/>
    </xf>
    <xf numFmtId="0" fontId="12" fillId="0" borderId="29" xfId="1" applyNumberFormat="1" applyFont="1" applyBorder="1" applyAlignment="1">
      <alignment horizontal="left" vertical="top" wrapText="1"/>
    </xf>
    <xf numFmtId="0" fontId="12" fillId="0" borderId="30" xfId="1" applyNumberFormat="1" applyFont="1" applyBorder="1" applyAlignment="1">
      <alignment horizontal="left" vertical="top" wrapText="1"/>
    </xf>
    <xf numFmtId="0" fontId="2" fillId="0" borderId="3" xfId="1" applyNumberFormat="1" applyFont="1" applyBorder="1" applyAlignment="1">
      <alignment horizontal="left" vertical="top" wrapText="1"/>
    </xf>
    <xf numFmtId="0" fontId="2" fillId="0" borderId="29" xfId="1" applyNumberFormat="1" applyFont="1" applyBorder="1" applyAlignment="1">
      <alignment horizontal="left" vertical="top" wrapText="1"/>
    </xf>
    <xf numFmtId="0" fontId="2" fillId="0" borderId="30" xfId="1" applyNumberFormat="1" applyFont="1" applyBorder="1" applyAlignment="1">
      <alignment horizontal="left" vertical="top" wrapText="1"/>
    </xf>
    <xf numFmtId="0" fontId="2" fillId="0" borderId="18" xfId="1" applyNumberFormat="1" applyFont="1" applyBorder="1" applyAlignment="1">
      <alignment horizontal="left" vertical="top" wrapText="1"/>
    </xf>
    <xf numFmtId="0" fontId="2" fillId="0" borderId="19" xfId="1" applyNumberFormat="1" applyFont="1" applyBorder="1" applyAlignment="1">
      <alignment horizontal="left" vertical="top" wrapText="1"/>
    </xf>
    <xf numFmtId="0" fontId="2" fillId="0" borderId="20" xfId="1" applyNumberFormat="1" applyFont="1" applyBorder="1" applyAlignment="1">
      <alignment horizontal="left" vertical="top" wrapText="1"/>
    </xf>
    <xf numFmtId="0" fontId="12" fillId="0" borderId="2" xfId="1" applyNumberFormat="1" applyFont="1" applyBorder="1" applyAlignment="1">
      <alignment horizontal="center" vertical="top" wrapText="1"/>
    </xf>
    <xf numFmtId="0" fontId="2" fillId="0" borderId="2" xfId="1" applyNumberFormat="1" applyFont="1" applyBorder="1" applyAlignment="1">
      <alignment horizontal="center" vertical="center" wrapText="1"/>
    </xf>
    <xf numFmtId="0" fontId="12" fillId="0" borderId="31" xfId="1" applyNumberFormat="1" applyFont="1" applyBorder="1" applyAlignment="1">
      <alignment horizontal="left" vertical="top" wrapText="1"/>
    </xf>
    <xf numFmtId="0" fontId="12" fillId="0" borderId="33" xfId="1" applyNumberFormat="1" applyFont="1" applyBorder="1" applyAlignment="1">
      <alignment horizontal="left" vertical="top" wrapText="1"/>
    </xf>
    <xf numFmtId="0" fontId="2" fillId="0" borderId="31" xfId="1" applyNumberFormat="1" applyFont="1" applyBorder="1" applyAlignment="1">
      <alignment horizontal="left" vertical="top" wrapText="1"/>
    </xf>
    <xf numFmtId="0" fontId="2" fillId="0" borderId="32" xfId="1" applyNumberFormat="1" applyFont="1" applyBorder="1" applyAlignment="1">
      <alignment horizontal="left" vertical="top" wrapText="1"/>
    </xf>
    <xf numFmtId="0" fontId="2" fillId="0" borderId="33" xfId="1" applyNumberFormat="1" applyFont="1" applyBorder="1" applyAlignment="1">
      <alignment horizontal="left" vertical="top" wrapText="1"/>
    </xf>
    <xf numFmtId="0" fontId="2" fillId="0" borderId="6" xfId="1" applyNumberFormat="1" applyFont="1" applyBorder="1" applyAlignment="1">
      <alignment horizontal="center" vertical="top" wrapText="1"/>
    </xf>
    <xf numFmtId="0" fontId="2" fillId="0" borderId="28" xfId="1" applyNumberFormat="1" applyFont="1" applyBorder="1" applyAlignment="1">
      <alignment horizontal="center" vertical="top" wrapText="1"/>
    </xf>
    <xf numFmtId="0" fontId="2" fillId="0" borderId="34" xfId="1" applyNumberFormat="1" applyFont="1" applyBorder="1" applyAlignment="1">
      <alignment horizontal="left" vertical="top" wrapText="1"/>
    </xf>
    <xf numFmtId="0" fontId="2" fillId="0" borderId="36" xfId="1" applyNumberFormat="1" applyFont="1" applyBorder="1" applyAlignment="1">
      <alignment horizontal="left" vertical="top" wrapText="1"/>
    </xf>
    <xf numFmtId="0" fontId="2" fillId="0" borderId="35" xfId="1" applyNumberFormat="1" applyFont="1" applyBorder="1" applyAlignment="1">
      <alignment horizontal="left" vertical="top" wrapText="1"/>
    </xf>
    <xf numFmtId="0" fontId="2" fillId="0" borderId="31" xfId="1" applyNumberFormat="1" applyBorder="1" applyAlignment="1">
      <alignment horizontal="left" vertical="top" wrapText="1"/>
    </xf>
    <xf numFmtId="0" fontId="2" fillId="0" borderId="32" xfId="1" applyNumberFormat="1" applyBorder="1" applyAlignment="1">
      <alignment horizontal="left" vertical="top" wrapText="1"/>
    </xf>
    <xf numFmtId="0" fontId="2" fillId="0" borderId="33" xfId="1" applyNumberFormat="1" applyBorder="1" applyAlignment="1">
      <alignment horizontal="left" vertical="top" wrapText="1"/>
    </xf>
    <xf numFmtId="0" fontId="2" fillId="0" borderId="37" xfId="1" applyNumberFormat="1" applyFont="1" applyBorder="1" applyAlignment="1">
      <alignment horizontal="center" vertical="top" wrapText="1"/>
    </xf>
    <xf numFmtId="0" fontId="2" fillId="0" borderId="38" xfId="1" applyNumberFormat="1" applyFont="1" applyBorder="1" applyAlignment="1">
      <alignment horizontal="center" vertical="top" wrapText="1"/>
    </xf>
    <xf numFmtId="0" fontId="2" fillId="0" borderId="39" xfId="1" applyNumberFormat="1" applyFont="1" applyBorder="1" applyAlignment="1">
      <alignment horizontal="center" vertical="top" wrapText="1"/>
    </xf>
  </cellXfs>
  <cellStyles count="4">
    <cellStyle name="Обычный" xfId="0" builtinId="0"/>
    <cellStyle name="Обычный 2" xfId="1"/>
    <cellStyle name="Обычный 4" xfId="3"/>
    <cellStyle name="Обычный_557-ТП 396-акт"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D18" sqref="D18"/>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0</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7</v>
      </c>
      <c r="D7" s="2" t="s">
        <v>8</v>
      </c>
      <c r="E7" s="3"/>
    </row>
    <row r="8" spans="1:5" x14ac:dyDescent="0.25">
      <c r="A8" s="4" t="s">
        <v>9</v>
      </c>
      <c r="D8" s="2" t="str">
        <f>A8</f>
        <v>"___" ___________ 2017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20.25" customHeight="1" x14ac:dyDescent="0.25">
      <c r="A13" s="118" t="s">
        <v>35</v>
      </c>
      <c r="B13" s="118"/>
      <c r="C13" s="118"/>
      <c r="D13" s="118"/>
      <c r="E13" s="118"/>
    </row>
    <row r="14" spans="1:5" ht="0.75" hidden="1"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32</v>
      </c>
      <c r="C17" s="11" t="s">
        <v>33</v>
      </c>
      <c r="D17" s="12" t="s">
        <v>34</v>
      </c>
      <c r="E17" s="13">
        <f>4811.71*2.4*1.2*0.805*3.99</f>
        <v>44510.319171360003</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4610.6319171360001</v>
      </c>
      <c r="E19" s="17">
        <f>D19</f>
        <v>4610.6319171360001</v>
      </c>
    </row>
    <row r="20" spans="1:5" ht="48" customHeight="1" x14ac:dyDescent="0.25">
      <c r="A20" s="10">
        <v>4</v>
      </c>
      <c r="B20" s="12" t="s">
        <v>22</v>
      </c>
      <c r="C20" s="15"/>
      <c r="D20" s="16"/>
      <c r="E20" s="17">
        <v>21186.45</v>
      </c>
    </row>
    <row r="21" spans="1:5" ht="48" customHeight="1" x14ac:dyDescent="0.25">
      <c r="A21" s="10">
        <v>5</v>
      </c>
      <c r="B21" s="12" t="s">
        <v>23</v>
      </c>
      <c r="C21" s="15"/>
      <c r="D21" s="16"/>
      <c r="E21" s="17">
        <v>30216.21</v>
      </c>
    </row>
    <row r="22" spans="1:5" x14ac:dyDescent="0.25">
      <c r="A22" s="18"/>
      <c r="B22" s="19" t="s">
        <v>24</v>
      </c>
      <c r="C22" s="15"/>
      <c r="D22" s="15"/>
      <c r="E22" s="17">
        <f>E21+E20+E19+E18+E17</f>
        <v>102119.61108849601</v>
      </c>
    </row>
    <row r="23" spans="1:5" x14ac:dyDescent="0.25">
      <c r="A23" s="18"/>
      <c r="B23" s="19" t="s">
        <v>25</v>
      </c>
      <c r="C23" s="15"/>
      <c r="D23" s="15"/>
      <c r="E23" s="17">
        <f>ROUND(E22*18%,2)</f>
        <v>18381.53</v>
      </c>
    </row>
    <row r="24" spans="1:5" x14ac:dyDescent="0.25">
      <c r="A24" s="18"/>
      <c r="B24" s="19" t="s">
        <v>26</v>
      </c>
      <c r="C24" s="15"/>
      <c r="D24" s="15"/>
      <c r="E24" s="17">
        <f>E22+E23</f>
        <v>120501.14108849601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3" zoomScaleNormal="100" workbookViewId="0">
      <selection activeCell="B27" sqref="B2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104</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98</v>
      </c>
      <c r="C17" s="11" t="s">
        <v>99</v>
      </c>
      <c r="D17" s="12" t="s">
        <v>100</v>
      </c>
      <c r="E17" s="13">
        <f>1751.1*2.4*1.2*0.805*3.99</f>
        <v>16198.403457599998</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1779.4403457599999</v>
      </c>
      <c r="E19" s="17">
        <f>D19</f>
        <v>1779.4403457599999</v>
      </c>
    </row>
    <row r="20" spans="1:5" x14ac:dyDescent="0.25">
      <c r="A20" s="18"/>
      <c r="B20" s="19" t="s">
        <v>24</v>
      </c>
      <c r="C20" s="15"/>
      <c r="D20" s="15"/>
      <c r="E20" s="17">
        <f>+E19+E18+E17</f>
        <v>19573.843803359996</v>
      </c>
    </row>
    <row r="21" spans="1:5" x14ac:dyDescent="0.25">
      <c r="A21" s="18"/>
      <c r="B21" s="19" t="s">
        <v>25</v>
      </c>
      <c r="C21" s="15"/>
      <c r="D21" s="15"/>
      <c r="E21" s="17">
        <f>ROUND(E20*18%,2)</f>
        <v>3523.29</v>
      </c>
    </row>
    <row r="22" spans="1:5" x14ac:dyDescent="0.25">
      <c r="A22" s="18"/>
      <c r="B22" s="19" t="s">
        <v>26</v>
      </c>
      <c r="C22" s="15"/>
      <c r="D22" s="15"/>
      <c r="E22" s="17">
        <f>E20+E21</f>
        <v>23097.133803359997</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29</v>
      </c>
    </row>
    <row r="32" spans="1:5" x14ac:dyDescent="0.25">
      <c r="E32"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D17" sqref="D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105</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101</v>
      </c>
      <c r="C17" s="11" t="s">
        <v>102</v>
      </c>
      <c r="D17" s="12" t="s">
        <v>103</v>
      </c>
      <c r="E17" s="13">
        <f>1104.67*2.4*1.2*0.805*3.99</f>
        <v>10218.657042720002</v>
      </c>
    </row>
    <row r="18" spans="1:5" ht="57.75" customHeight="1" x14ac:dyDescent="0.25">
      <c r="A18" s="10">
        <v>2</v>
      </c>
      <c r="B18" s="14" t="s">
        <v>17</v>
      </c>
      <c r="C18" s="12" t="s">
        <v>18</v>
      </c>
      <c r="D18" s="12" t="s">
        <v>44</v>
      </c>
      <c r="E18" s="13">
        <f>800*2*0.5*3.99</f>
        <v>3192</v>
      </c>
    </row>
    <row r="19" spans="1:5" ht="48" customHeight="1" x14ac:dyDescent="0.25">
      <c r="A19" s="10">
        <v>3</v>
      </c>
      <c r="B19" s="12" t="s">
        <v>20</v>
      </c>
      <c r="C19" s="15" t="s">
        <v>21</v>
      </c>
      <c r="D19" s="16">
        <f>(E17+E18)*0.1</f>
        <v>1341.0657042720004</v>
      </c>
      <c r="E19" s="17">
        <f>D19</f>
        <v>1341.0657042720004</v>
      </c>
    </row>
    <row r="20" spans="1:5" ht="48" customHeight="1" x14ac:dyDescent="0.25">
      <c r="A20" s="10">
        <v>4</v>
      </c>
      <c r="B20" s="12" t="s">
        <v>22</v>
      </c>
      <c r="C20" s="12" t="s">
        <v>89</v>
      </c>
      <c r="D20" s="16"/>
      <c r="E20" s="17">
        <v>3000</v>
      </c>
    </row>
    <row r="21" spans="1:5" x14ac:dyDescent="0.25">
      <c r="A21" s="18"/>
      <c r="B21" s="19" t="s">
        <v>24</v>
      </c>
      <c r="C21" s="15"/>
      <c r="D21" s="15"/>
      <c r="E21" s="17">
        <f>E20+E19+E18+E17</f>
        <v>17751.722746992004</v>
      </c>
    </row>
    <row r="22" spans="1:5" x14ac:dyDescent="0.25">
      <c r="A22" s="18"/>
      <c r="B22" s="19" t="s">
        <v>25</v>
      </c>
      <c r="C22" s="15"/>
      <c r="D22" s="15"/>
      <c r="E22" s="17">
        <f>ROUND(E21*18%,2)</f>
        <v>3195.31</v>
      </c>
    </row>
    <row r="23" spans="1:5" x14ac:dyDescent="0.25">
      <c r="A23" s="18"/>
      <c r="B23" s="19" t="s">
        <v>26</v>
      </c>
      <c r="C23" s="15"/>
      <c r="D23" s="15"/>
      <c r="E23" s="17">
        <f>E21+E22</f>
        <v>20947.032746992005</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zoomScaleNormal="100" workbookViewId="0">
      <selection activeCell="E17" sqref="E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106</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107</v>
      </c>
      <c r="C17" s="11" t="s">
        <v>108</v>
      </c>
      <c r="D17" s="12" t="s">
        <v>109</v>
      </c>
      <c r="E17" s="13">
        <f>1916.99*2.4*1.2*0.805*3.99</f>
        <v>17732.954967840004</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1932.8954967840004</v>
      </c>
      <c r="E19" s="17">
        <f>D19</f>
        <v>1932.8954967840004</v>
      </c>
    </row>
    <row r="20" spans="1:5" ht="48" customHeight="1" x14ac:dyDescent="0.25">
      <c r="A20" s="10">
        <v>4</v>
      </c>
      <c r="B20" s="12" t="s">
        <v>22</v>
      </c>
      <c r="C20" s="12" t="s">
        <v>89</v>
      </c>
      <c r="D20" s="16"/>
      <c r="E20" s="17">
        <v>6779.66</v>
      </c>
    </row>
    <row r="21" spans="1:5" ht="48" customHeight="1" x14ac:dyDescent="0.25">
      <c r="A21" s="10">
        <v>5</v>
      </c>
      <c r="B21" s="12" t="s">
        <v>23</v>
      </c>
      <c r="C21" s="15"/>
      <c r="D21" s="16"/>
      <c r="E21" s="17">
        <v>49185</v>
      </c>
    </row>
    <row r="22" spans="1:5" x14ac:dyDescent="0.25">
      <c r="A22" s="18"/>
      <c r="B22" s="19" t="s">
        <v>24</v>
      </c>
      <c r="C22" s="15"/>
      <c r="D22" s="15"/>
      <c r="E22" s="17">
        <f>E20+E19+E18+E17+E21</f>
        <v>77226.510464624007</v>
      </c>
    </row>
    <row r="23" spans="1:5" x14ac:dyDescent="0.25">
      <c r="A23" s="18"/>
      <c r="B23" s="19" t="s">
        <v>25</v>
      </c>
      <c r="C23" s="15"/>
      <c r="D23" s="15"/>
      <c r="E23" s="17">
        <f>ROUND(E22*18%,2)</f>
        <v>13900.77</v>
      </c>
    </row>
    <row r="24" spans="1:5" x14ac:dyDescent="0.25">
      <c r="A24" s="18"/>
      <c r="B24" s="19" t="s">
        <v>26</v>
      </c>
      <c r="C24" s="15"/>
      <c r="D24" s="15"/>
      <c r="E24" s="17">
        <f>E22+E23</f>
        <v>91127.280464624011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zoomScaleNormal="100" workbookViewId="0">
      <selection activeCell="D19" sqref="D19"/>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111</v>
      </c>
      <c r="D4" s="2" t="s">
        <v>4</v>
      </c>
      <c r="E4" s="3"/>
    </row>
    <row r="5" spans="1:5" x14ac:dyDescent="0.25">
      <c r="A5" s="1" t="s">
        <v>112</v>
      </c>
      <c r="D5" s="2" t="s">
        <v>6</v>
      </c>
      <c r="E5" s="3"/>
    </row>
    <row r="6" spans="1:5" x14ac:dyDescent="0.25">
      <c r="D6" s="3"/>
      <c r="E6" s="3"/>
    </row>
    <row r="7" spans="1:5" x14ac:dyDescent="0.25">
      <c r="A7" s="4" t="s">
        <v>110</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16.5" customHeight="1" x14ac:dyDescent="0.25">
      <c r="A13" s="118" t="s">
        <v>113</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114</v>
      </c>
      <c r="C17" s="11" t="s">
        <v>115</v>
      </c>
      <c r="D17" s="12" t="s">
        <v>116</v>
      </c>
      <c r="E17" s="13">
        <f>3104.61*2.4*1.2*0.805*3.99</f>
        <v>28718.934017760002</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3031.4934017760006</v>
      </c>
      <c r="E19" s="17">
        <f>D19</f>
        <v>3031.4934017760006</v>
      </c>
    </row>
    <row r="20" spans="1:5" ht="48" customHeight="1" x14ac:dyDescent="0.25">
      <c r="A20" s="10">
        <v>4</v>
      </c>
      <c r="B20" s="12" t="s">
        <v>22</v>
      </c>
      <c r="C20" s="12" t="s">
        <v>89</v>
      </c>
      <c r="D20" s="16"/>
      <c r="E20" s="17">
        <v>12711.87</v>
      </c>
    </row>
    <row r="21" spans="1:5" ht="48" customHeight="1" x14ac:dyDescent="0.25">
      <c r="A21" s="10">
        <v>5</v>
      </c>
      <c r="B21" s="12" t="s">
        <v>23</v>
      </c>
      <c r="C21" s="15"/>
      <c r="D21" s="16"/>
      <c r="E21" s="17">
        <v>29077.86</v>
      </c>
    </row>
    <row r="22" spans="1:5" x14ac:dyDescent="0.25">
      <c r="A22" s="18"/>
      <c r="B22" s="19" t="s">
        <v>24</v>
      </c>
      <c r="C22" s="15"/>
      <c r="D22" s="15"/>
      <c r="E22" s="17">
        <f>E20+E19+E18+E17+E21</f>
        <v>75136.157419536001</v>
      </c>
    </row>
    <row r="23" spans="1:5" x14ac:dyDescent="0.25">
      <c r="A23" s="18"/>
      <c r="B23" s="19" t="s">
        <v>25</v>
      </c>
      <c r="C23" s="15"/>
      <c r="D23" s="15"/>
      <c r="E23" s="17">
        <f>ROUND(E22*18%,2)</f>
        <v>13524.51</v>
      </c>
    </row>
    <row r="24" spans="1:5" x14ac:dyDescent="0.25">
      <c r="A24" s="18"/>
      <c r="B24" s="19" t="s">
        <v>26</v>
      </c>
      <c r="C24" s="15"/>
      <c r="D24" s="15"/>
      <c r="E24" s="17">
        <f>E22+E23</f>
        <v>88660.667419535996</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6" zoomScaleNormal="100" workbookViewId="0">
      <selection activeCell="B11" sqref="B1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5.25" customHeight="1" x14ac:dyDescent="0.25">
      <c r="A13" s="118" t="s">
        <v>117</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118</v>
      </c>
      <c r="C16" s="11" t="s">
        <v>119</v>
      </c>
      <c r="D16" s="12" t="s">
        <v>120</v>
      </c>
      <c r="E16" s="13">
        <f>1581.26*2.4*1.2*0.805*3.99</f>
        <v>14627.312804160003</v>
      </c>
    </row>
    <row r="17" spans="1:5" ht="57.75" customHeight="1" x14ac:dyDescent="0.25">
      <c r="A17" s="10">
        <v>2</v>
      </c>
      <c r="B17" s="14" t="s">
        <v>17</v>
      </c>
      <c r="C17" s="12" t="s">
        <v>18</v>
      </c>
      <c r="D17" s="12" t="s">
        <v>19</v>
      </c>
      <c r="E17" s="13">
        <f>800*1*0.5*3.99</f>
        <v>1596</v>
      </c>
    </row>
    <row r="18" spans="1:5" ht="48" customHeight="1" x14ac:dyDescent="0.25">
      <c r="A18" s="10">
        <v>3</v>
      </c>
      <c r="B18" s="12" t="s">
        <v>20</v>
      </c>
      <c r="C18" s="15" t="s">
        <v>21</v>
      </c>
      <c r="D18" s="16">
        <f>(E16+E17)*0.1</f>
        <v>1622.3312804160005</v>
      </c>
      <c r="E18" s="17">
        <f>D18</f>
        <v>1622.3312804160005</v>
      </c>
    </row>
    <row r="19" spans="1:5" ht="48" customHeight="1" x14ac:dyDescent="0.25">
      <c r="A19" s="10">
        <v>4</v>
      </c>
      <c r="B19" s="12" t="s">
        <v>22</v>
      </c>
      <c r="C19" s="12" t="s">
        <v>89</v>
      </c>
      <c r="D19" s="16"/>
      <c r="E19" s="17">
        <v>3364.05</v>
      </c>
    </row>
    <row r="20" spans="1:5" ht="48" customHeight="1" x14ac:dyDescent="0.25">
      <c r="A20" s="10">
        <v>5</v>
      </c>
      <c r="B20" s="12" t="s">
        <v>23</v>
      </c>
      <c r="C20" s="15"/>
      <c r="D20" s="16"/>
      <c r="E20" s="17">
        <v>27941</v>
      </c>
    </row>
    <row r="21" spans="1:5" x14ac:dyDescent="0.25">
      <c r="A21" s="18"/>
      <c r="B21" s="19" t="s">
        <v>24</v>
      </c>
      <c r="C21" s="15"/>
      <c r="D21" s="15"/>
      <c r="E21" s="17">
        <f>E19+E18+E17+E16+E20</f>
        <v>49150.694084576004</v>
      </c>
    </row>
    <row r="22" spans="1:5" x14ac:dyDescent="0.25">
      <c r="A22" s="18"/>
      <c r="B22" s="19" t="s">
        <v>25</v>
      </c>
      <c r="C22" s="15"/>
      <c r="D22" s="15"/>
      <c r="E22" s="17">
        <f>ROUND(E21*18%,2)</f>
        <v>8847.1200000000008</v>
      </c>
    </row>
    <row r="23" spans="1:5" x14ac:dyDescent="0.25">
      <c r="A23" s="18"/>
      <c r="B23" s="19" t="s">
        <v>26</v>
      </c>
      <c r="C23" s="15"/>
      <c r="D23" s="15"/>
      <c r="E23" s="17">
        <f>E21+E22</f>
        <v>57997.814084576006</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7" zoomScaleNormal="100" workbookViewId="0">
      <selection activeCell="C15" sqref="C15"/>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5.25" customHeight="1" x14ac:dyDescent="0.25">
      <c r="A13" s="118" t="s">
        <v>150</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121</v>
      </c>
      <c r="C16" s="11" t="s">
        <v>143</v>
      </c>
      <c r="D16" s="12" t="s">
        <v>144</v>
      </c>
      <c r="E16" s="13">
        <f>1965.7*2.4*1.2*0.805*3.83</f>
        <v>17454.378110400005</v>
      </c>
    </row>
    <row r="17" spans="1:5" ht="57.75" customHeight="1" x14ac:dyDescent="0.25">
      <c r="A17" s="10">
        <v>2</v>
      </c>
      <c r="B17" s="14" t="s">
        <v>17</v>
      </c>
      <c r="C17" s="12" t="s">
        <v>18</v>
      </c>
      <c r="D17" s="12" t="s">
        <v>145</v>
      </c>
      <c r="E17" s="13">
        <f>800*1*0.5*3.83</f>
        <v>1532</v>
      </c>
    </row>
    <row r="18" spans="1:5" ht="48" customHeight="1" x14ac:dyDescent="0.25">
      <c r="A18" s="10">
        <v>3</v>
      </c>
      <c r="B18" s="12" t="s">
        <v>20</v>
      </c>
      <c r="C18" s="15" t="s">
        <v>21</v>
      </c>
      <c r="D18" s="16">
        <f>(E16+E17)*0.1</f>
        <v>1898.6378110400005</v>
      </c>
      <c r="E18" s="17">
        <f>D18</f>
        <v>1898.6378110400005</v>
      </c>
    </row>
    <row r="19" spans="1:5" x14ac:dyDescent="0.25">
      <c r="A19" s="18"/>
      <c r="B19" s="19" t="s">
        <v>24</v>
      </c>
      <c r="C19" s="15"/>
      <c r="D19" s="15"/>
      <c r="E19" s="17">
        <f>E18+E17+E16</f>
        <v>20885.015921440005</v>
      </c>
    </row>
    <row r="20" spans="1:5" x14ac:dyDescent="0.25">
      <c r="A20" s="18"/>
      <c r="B20" s="19" t="s">
        <v>25</v>
      </c>
      <c r="C20" s="15"/>
      <c r="D20" s="15"/>
      <c r="E20" s="17">
        <f>ROUND(E19*18%,2)</f>
        <v>3759.3</v>
      </c>
    </row>
    <row r="21" spans="1:5" x14ac:dyDescent="0.25">
      <c r="A21" s="18"/>
      <c r="B21" s="19" t="s">
        <v>26</v>
      </c>
      <c r="C21" s="15"/>
      <c r="D21" s="15"/>
      <c r="E21" s="17">
        <f>E19+E20</f>
        <v>24644.315921440004</v>
      </c>
    </row>
    <row r="22" spans="1:5" x14ac:dyDescent="0.25">
      <c r="A22" s="20"/>
      <c r="B22" s="21"/>
      <c r="C22" s="22"/>
      <c r="D22" s="22"/>
      <c r="E22" s="23"/>
    </row>
    <row r="23" spans="1:5" x14ac:dyDescent="0.25">
      <c r="A23" s="1" t="s">
        <v>2</v>
      </c>
    </row>
    <row r="24" spans="1:5" x14ac:dyDescent="0.25">
      <c r="A24" s="1" t="s">
        <v>27</v>
      </c>
    </row>
    <row r="25" spans="1:5" x14ac:dyDescent="0.25">
      <c r="A25" s="1" t="s">
        <v>31</v>
      </c>
    </row>
    <row r="26" spans="1:5" x14ac:dyDescent="0.25">
      <c r="A26" s="4" t="s">
        <v>28</v>
      </c>
    </row>
    <row r="27" spans="1:5" x14ac:dyDescent="0.25">
      <c r="A27" s="1" t="s">
        <v>29</v>
      </c>
    </row>
    <row r="31" spans="1:5" x14ac:dyDescent="0.25">
      <c r="E31"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0" zoomScaleNormal="100" workbookViewId="0">
      <selection activeCell="D18" sqref="D18"/>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5.25" customHeight="1" x14ac:dyDescent="0.25">
      <c r="A13" s="118" t="s">
        <v>122</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123</v>
      </c>
      <c r="C16" s="11" t="s">
        <v>132</v>
      </c>
      <c r="D16" s="12" t="s">
        <v>133</v>
      </c>
      <c r="E16" s="13">
        <f>1002.16*2.4*1.2*0.805*3.83</f>
        <v>8898.6516595199992</v>
      </c>
    </row>
    <row r="17" spans="1:5" ht="57.75" customHeight="1" x14ac:dyDescent="0.25">
      <c r="A17" s="10">
        <v>2</v>
      </c>
      <c r="B17" s="14" t="s">
        <v>17</v>
      </c>
      <c r="C17" s="12" t="s">
        <v>18</v>
      </c>
      <c r="D17" s="12" t="s">
        <v>145</v>
      </c>
      <c r="E17" s="13">
        <f>800*1*0.5*3.83</f>
        <v>1532</v>
      </c>
    </row>
    <row r="18" spans="1:5" ht="48" customHeight="1" x14ac:dyDescent="0.25">
      <c r="A18" s="10">
        <v>3</v>
      </c>
      <c r="B18" s="12" t="s">
        <v>20</v>
      </c>
      <c r="C18" s="15" t="s">
        <v>21</v>
      </c>
      <c r="D18" s="16">
        <f>(E16+E17)*0.1</f>
        <v>1043.0651659519999</v>
      </c>
      <c r="E18" s="17">
        <f>D18</f>
        <v>1043.0651659519999</v>
      </c>
    </row>
    <row r="19" spans="1:5" ht="48" customHeight="1" x14ac:dyDescent="0.25">
      <c r="A19" s="10">
        <v>4</v>
      </c>
      <c r="B19" s="12" t="s">
        <v>22</v>
      </c>
      <c r="C19" s="12" t="s">
        <v>89</v>
      </c>
      <c r="D19" s="16"/>
      <c r="E19" s="17">
        <v>6779.66</v>
      </c>
    </row>
    <row r="20" spans="1:5" ht="48" customHeight="1" x14ac:dyDescent="0.25">
      <c r="A20" s="10">
        <v>5</v>
      </c>
      <c r="B20" s="12" t="s">
        <v>23</v>
      </c>
      <c r="C20" s="15"/>
      <c r="D20" s="16"/>
      <c r="E20" s="17">
        <v>21750.05</v>
      </c>
    </row>
    <row r="21" spans="1:5" x14ac:dyDescent="0.25">
      <c r="A21" s="18"/>
      <c r="B21" s="19" t="s">
        <v>24</v>
      </c>
      <c r="C21" s="15"/>
      <c r="D21" s="15"/>
      <c r="E21" s="17">
        <f>E19+E18+E17+E16+E20</f>
        <v>40003.426825471994</v>
      </c>
    </row>
    <row r="22" spans="1:5" x14ac:dyDescent="0.25">
      <c r="A22" s="18"/>
      <c r="B22" s="19" t="s">
        <v>25</v>
      </c>
      <c r="C22" s="15"/>
      <c r="D22" s="15"/>
      <c r="E22" s="17">
        <f>ROUND(E21*18%,2)</f>
        <v>7200.62</v>
      </c>
    </row>
    <row r="23" spans="1:5" x14ac:dyDescent="0.25">
      <c r="A23" s="18"/>
      <c r="B23" s="19" t="s">
        <v>26</v>
      </c>
      <c r="C23" s="15"/>
      <c r="D23" s="15"/>
      <c r="E23" s="17">
        <f>E21+E22</f>
        <v>47204.046825471996</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4" workbookViewId="0">
      <selection activeCell="B18" sqref="B18"/>
    </sheetView>
  </sheetViews>
  <sheetFormatPr defaultRowHeight="15.75" x14ac:dyDescent="0.25"/>
  <cols>
    <col min="1" max="1" width="5.140625" style="1" customWidth="1"/>
    <col min="2" max="2" width="20.140625" style="1" customWidth="1"/>
    <col min="3" max="3" width="31.42578125" style="1" customWidth="1"/>
    <col min="4" max="4" width="22.140625" style="1" customWidth="1"/>
    <col min="5" max="5" width="12.85546875" style="1" customWidth="1"/>
    <col min="6" max="6" width="8.42578125" style="1" customWidth="1"/>
    <col min="7" max="16384" width="9.140625" style="1"/>
  </cols>
  <sheetData>
    <row r="1" spans="1:5" x14ac:dyDescent="0.25">
      <c r="B1" s="116" t="s">
        <v>124</v>
      </c>
      <c r="C1" s="116"/>
      <c r="D1" s="116"/>
      <c r="E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125</v>
      </c>
      <c r="D7" s="2" t="s">
        <v>8</v>
      </c>
      <c r="E7" s="3"/>
    </row>
    <row r="8" spans="1:5" x14ac:dyDescent="0.25">
      <c r="A8" s="4" t="s">
        <v>126</v>
      </c>
      <c r="D8" s="2" t="str">
        <f>A8</f>
        <v>"___" ___________ 2018  г.</v>
      </c>
      <c r="E8" s="3"/>
    </row>
    <row r="9" spans="1:5" x14ac:dyDescent="0.25">
      <c r="A9" s="4"/>
      <c r="D9" s="5"/>
      <c r="E9" s="6"/>
    </row>
    <row r="10" spans="1:5" ht="18" customHeight="1" x14ac:dyDescent="0.25">
      <c r="A10" s="117" t="s">
        <v>10</v>
      </c>
      <c r="B10" s="117"/>
      <c r="C10" s="117"/>
      <c r="D10" s="117"/>
      <c r="E10" s="117"/>
    </row>
    <row r="11" spans="1:5" ht="12.75" customHeight="1" x14ac:dyDescent="0.25">
      <c r="A11" s="30"/>
      <c r="B11" s="30"/>
      <c r="C11" s="30" t="s">
        <v>11</v>
      </c>
      <c r="D11" s="30"/>
      <c r="E11" s="30"/>
    </row>
    <row r="12" spans="1:5" ht="33" customHeight="1" x14ac:dyDescent="0.25">
      <c r="A12" s="117" t="s">
        <v>131</v>
      </c>
      <c r="B12" s="117"/>
      <c r="C12" s="117"/>
      <c r="D12" s="117"/>
      <c r="E12" s="117"/>
    </row>
    <row r="13" spans="1:5" ht="49.5" hidden="1" customHeight="1" x14ac:dyDescent="0.25">
      <c r="A13" s="118"/>
      <c r="B13" s="118"/>
      <c r="C13" s="118"/>
      <c r="D13" s="118"/>
      <c r="E13" s="118"/>
    </row>
    <row r="14" spans="1:5" ht="18.75" customHeight="1" x14ac:dyDescent="0.25">
      <c r="A14" s="31"/>
      <c r="B14" s="31"/>
      <c r="C14" s="31"/>
      <c r="D14" s="31"/>
      <c r="E14" s="31"/>
    </row>
    <row r="15" spans="1:5" ht="12.75" customHeight="1" x14ac:dyDescent="0.25">
      <c r="A15" s="119" t="s">
        <v>12</v>
      </c>
      <c r="B15" s="121" t="s">
        <v>13</v>
      </c>
      <c r="C15" s="121" t="s">
        <v>14</v>
      </c>
      <c r="D15" s="121" t="s">
        <v>15</v>
      </c>
      <c r="E15" s="125" t="s">
        <v>16</v>
      </c>
    </row>
    <row r="16" spans="1:5" ht="51" customHeight="1" x14ac:dyDescent="0.25">
      <c r="A16" s="120"/>
      <c r="B16" s="122"/>
      <c r="C16" s="123"/>
      <c r="D16" s="124"/>
      <c r="E16" s="126"/>
    </row>
    <row r="17" spans="1:5" ht="126" customHeight="1" x14ac:dyDescent="0.25">
      <c r="A17" s="33">
        <v>1</v>
      </c>
      <c r="B17" s="11" t="s">
        <v>134</v>
      </c>
      <c r="C17" s="11" t="s">
        <v>135</v>
      </c>
      <c r="D17" s="12" t="s">
        <v>136</v>
      </c>
      <c r="E17" s="13">
        <f>237.28*2.4*1.2*0.805*3.83</f>
        <v>2106.9211161600001</v>
      </c>
    </row>
    <row r="18" spans="1:5" ht="181.5" customHeight="1" x14ac:dyDescent="0.25">
      <c r="A18" s="33">
        <v>2</v>
      </c>
      <c r="B18" s="12" t="s">
        <v>127</v>
      </c>
      <c r="C18" s="14" t="s">
        <v>139</v>
      </c>
      <c r="D18" s="14" t="s">
        <v>140</v>
      </c>
      <c r="E18" s="34">
        <f>(7763+42*(0.4*100+0.6*80))*3*0.4*3.83*1.4*(1+0.1)*0.555</f>
        <v>45013.257550800008</v>
      </c>
    </row>
    <row r="19" spans="1:5" ht="157.5" customHeight="1" x14ac:dyDescent="0.25">
      <c r="A19" s="33">
        <v>3</v>
      </c>
      <c r="B19" s="12" t="s">
        <v>127</v>
      </c>
      <c r="C19" s="14" t="s">
        <v>137</v>
      </c>
      <c r="D19" s="14" t="s">
        <v>141</v>
      </c>
      <c r="E19" s="34">
        <f>(7763+42*(0.4*100+0.6*80))*3*0.6*3.83*1.4*(1+0.1)*0.565</f>
        <v>68736.460854599994</v>
      </c>
    </row>
    <row r="20" spans="1:5" ht="67.5" customHeight="1" x14ac:dyDescent="0.25">
      <c r="A20" s="10">
        <v>4</v>
      </c>
      <c r="B20" s="35" t="s">
        <v>17</v>
      </c>
      <c r="C20" s="12" t="s">
        <v>128</v>
      </c>
      <c r="D20" s="12" t="s">
        <v>138</v>
      </c>
      <c r="E20" s="13">
        <f>800*5*0.5*3.83</f>
        <v>7660</v>
      </c>
    </row>
    <row r="21" spans="1:5" ht="33.75" customHeight="1" x14ac:dyDescent="0.25">
      <c r="A21" s="10">
        <v>5</v>
      </c>
      <c r="B21" s="24" t="s">
        <v>20</v>
      </c>
      <c r="C21" s="15" t="s">
        <v>142</v>
      </c>
      <c r="D21" s="16">
        <f>(E17+E18+E19+E20)*0.1</f>
        <v>12351.663952156001</v>
      </c>
      <c r="E21" s="17">
        <f>D21</f>
        <v>12351.663952156001</v>
      </c>
    </row>
    <row r="22" spans="1:5" ht="49.5" customHeight="1" x14ac:dyDescent="0.25">
      <c r="A22" s="10">
        <v>6</v>
      </c>
      <c r="B22" s="36" t="s">
        <v>22</v>
      </c>
      <c r="C22" s="12" t="s">
        <v>89</v>
      </c>
      <c r="D22" s="16"/>
      <c r="E22" s="17">
        <v>8474.58</v>
      </c>
    </row>
    <row r="23" spans="1:5" ht="48" customHeight="1" x14ac:dyDescent="0.25">
      <c r="A23" s="10">
        <v>7</v>
      </c>
      <c r="B23" s="36" t="s">
        <v>129</v>
      </c>
      <c r="C23" s="15"/>
      <c r="D23" s="16"/>
      <c r="E23" s="17">
        <v>36957</v>
      </c>
    </row>
    <row r="24" spans="1:5" ht="18" customHeight="1" x14ac:dyDescent="0.25">
      <c r="A24" s="18"/>
      <c r="B24" s="19" t="s">
        <v>24</v>
      </c>
      <c r="C24" s="15"/>
      <c r="D24" s="15"/>
      <c r="E24" s="17">
        <f>E17+E23+E22+E21+E20+E19+E18</f>
        <v>181299.88347371601</v>
      </c>
    </row>
    <row r="25" spans="1:5" x14ac:dyDescent="0.25">
      <c r="A25" s="18"/>
      <c r="B25" s="19" t="s">
        <v>25</v>
      </c>
      <c r="C25" s="15"/>
      <c r="D25" s="15"/>
      <c r="E25" s="17">
        <f>ROUND(E24*18%,2)</f>
        <v>32633.98</v>
      </c>
    </row>
    <row r="26" spans="1:5" x14ac:dyDescent="0.25">
      <c r="A26" s="18"/>
      <c r="B26" s="19" t="s">
        <v>26</v>
      </c>
      <c r="C26" s="15"/>
      <c r="D26" s="15"/>
      <c r="E26" s="17">
        <f>ROUND(E24+E25,2)</f>
        <v>213933.86</v>
      </c>
    </row>
    <row r="27" spans="1:5" x14ac:dyDescent="0.25">
      <c r="A27" s="20"/>
      <c r="B27" s="21"/>
      <c r="C27" s="22"/>
      <c r="D27" s="22"/>
      <c r="E27" s="23"/>
    </row>
    <row r="28" spans="1:5" x14ac:dyDescent="0.25">
      <c r="A28" s="1" t="s">
        <v>2</v>
      </c>
    </row>
    <row r="29" spans="1:5" x14ac:dyDescent="0.25">
      <c r="A29" s="1" t="s">
        <v>27</v>
      </c>
    </row>
    <row r="30" spans="1:5" x14ac:dyDescent="0.25">
      <c r="A30" s="1" t="s">
        <v>130</v>
      </c>
    </row>
    <row r="31" spans="1:5" x14ac:dyDescent="0.25">
      <c r="A31" s="4" t="s">
        <v>28</v>
      </c>
    </row>
    <row r="32" spans="1:5" x14ac:dyDescent="0.25">
      <c r="A32" s="1" t="s">
        <v>29</v>
      </c>
    </row>
  </sheetData>
  <mergeCells count="9">
    <mergeCell ref="B1:E1"/>
    <mergeCell ref="A10:E10"/>
    <mergeCell ref="A12:E12"/>
    <mergeCell ref="A13:E13"/>
    <mergeCell ref="A15:A16"/>
    <mergeCell ref="B15:B16"/>
    <mergeCell ref="C15:C16"/>
    <mergeCell ref="D15:D16"/>
    <mergeCell ref="E15:E16"/>
  </mergeCells>
  <pageMargins left="0.31496062992125984" right="0.31496062992125984" top="0.15748031496062992" bottom="1.1417322834645669"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7" zoomScaleNormal="100" workbookViewId="0">
      <selection activeCell="E16" sqref="E1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5.25" customHeight="1" x14ac:dyDescent="0.25">
      <c r="A13" s="118" t="s">
        <v>146</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147</v>
      </c>
      <c r="C16" s="11" t="s">
        <v>148</v>
      </c>
      <c r="D16" s="12" t="s">
        <v>149</v>
      </c>
      <c r="E16" s="13">
        <f>1461.16*2.4*1.2*0.805*3.83</f>
        <v>12974.329307520002</v>
      </c>
    </row>
    <row r="17" spans="1:5" ht="57.75" customHeight="1" x14ac:dyDescent="0.25">
      <c r="A17" s="10">
        <v>2</v>
      </c>
      <c r="B17" s="32" t="s">
        <v>17</v>
      </c>
      <c r="C17" s="12" t="s">
        <v>18</v>
      </c>
      <c r="D17" s="12" t="s">
        <v>145</v>
      </c>
      <c r="E17" s="13">
        <f>800*1*0.5*3.83</f>
        <v>1532</v>
      </c>
    </row>
    <row r="18" spans="1:5" ht="48" customHeight="1" x14ac:dyDescent="0.25">
      <c r="A18" s="10">
        <v>3</v>
      </c>
      <c r="B18" s="12" t="s">
        <v>20</v>
      </c>
      <c r="C18" s="15" t="s">
        <v>21</v>
      </c>
      <c r="D18" s="16">
        <f>(E16+E17)*0.1</f>
        <v>1450.6329307520002</v>
      </c>
      <c r="E18" s="17">
        <f>D18</f>
        <v>1450.6329307520002</v>
      </c>
    </row>
    <row r="19" spans="1:5" ht="48" customHeight="1" x14ac:dyDescent="0.25">
      <c r="A19" s="10">
        <v>4</v>
      </c>
      <c r="B19" s="12" t="s">
        <v>22</v>
      </c>
      <c r="C19" s="12" t="s">
        <v>89</v>
      </c>
      <c r="D19" s="16"/>
      <c r="E19" s="17">
        <v>3389.83</v>
      </c>
    </row>
    <row r="20" spans="1:5" x14ac:dyDescent="0.25">
      <c r="A20" s="18"/>
      <c r="B20" s="19" t="s">
        <v>24</v>
      </c>
      <c r="C20" s="15"/>
      <c r="D20" s="15"/>
      <c r="E20" s="17">
        <f>E19+E18+E17+E16</f>
        <v>19346.792238272003</v>
      </c>
    </row>
    <row r="21" spans="1:5" x14ac:dyDescent="0.25">
      <c r="A21" s="18"/>
      <c r="B21" s="19" t="s">
        <v>25</v>
      </c>
      <c r="C21" s="15"/>
      <c r="D21" s="15"/>
      <c r="E21" s="17">
        <f>ROUND(E20*18%,2)</f>
        <v>3482.42</v>
      </c>
    </row>
    <row r="22" spans="1:5" x14ac:dyDescent="0.25">
      <c r="A22" s="18"/>
      <c r="B22" s="19" t="s">
        <v>26</v>
      </c>
      <c r="C22" s="15"/>
      <c r="D22" s="15"/>
      <c r="E22" s="17">
        <f>E20+E21</f>
        <v>22829.212238272004</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29</v>
      </c>
    </row>
    <row r="32" spans="1:5" x14ac:dyDescent="0.25">
      <c r="E32"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10" zoomScaleNormal="100" workbookViewId="0">
      <selection activeCell="E17" sqref="E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5.25" customHeight="1" x14ac:dyDescent="0.25">
      <c r="A13" s="118" t="s">
        <v>151</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152</v>
      </c>
      <c r="C16" s="11" t="s">
        <v>153</v>
      </c>
      <c r="D16" s="12" t="s">
        <v>154</v>
      </c>
      <c r="E16" s="13">
        <f>2144.36*2.4*1.2*0.805*3.83</f>
        <v>19040.784577920003</v>
      </c>
    </row>
    <row r="17" spans="1:5" ht="57.75" customHeight="1" x14ac:dyDescent="0.25">
      <c r="A17" s="10">
        <v>2</v>
      </c>
      <c r="B17" s="37" t="s">
        <v>17</v>
      </c>
      <c r="C17" s="12" t="s">
        <v>18</v>
      </c>
      <c r="D17" s="12" t="s">
        <v>145</v>
      </c>
      <c r="E17" s="13">
        <f>800*1*0.5*3.83</f>
        <v>1532</v>
      </c>
    </row>
    <row r="18" spans="1:5" ht="48" customHeight="1" x14ac:dyDescent="0.25">
      <c r="A18" s="10">
        <v>3</v>
      </c>
      <c r="B18" s="12" t="s">
        <v>20</v>
      </c>
      <c r="C18" s="15" t="s">
        <v>21</v>
      </c>
      <c r="D18" s="16">
        <f>(E16+E17)*0.1</f>
        <v>2057.2784577920006</v>
      </c>
      <c r="E18" s="17">
        <f>D18</f>
        <v>2057.2784577920006</v>
      </c>
    </row>
    <row r="19" spans="1:5" x14ac:dyDescent="0.25">
      <c r="A19" s="18"/>
      <c r="B19" s="19" t="s">
        <v>24</v>
      </c>
      <c r="C19" s="15"/>
      <c r="D19" s="15"/>
      <c r="E19" s="17">
        <f>E18+E17+E16</f>
        <v>22630.063035712003</v>
      </c>
    </row>
    <row r="20" spans="1:5" x14ac:dyDescent="0.25">
      <c r="A20" s="18"/>
      <c r="B20" s="19" t="s">
        <v>25</v>
      </c>
      <c r="C20" s="15"/>
      <c r="D20" s="15"/>
      <c r="E20" s="17">
        <f>ROUND(E19*18%,2)</f>
        <v>4073.41</v>
      </c>
    </row>
    <row r="21" spans="1:5" x14ac:dyDescent="0.25">
      <c r="A21" s="18"/>
      <c r="B21" s="19" t="s">
        <v>26</v>
      </c>
      <c r="C21" s="15"/>
      <c r="D21" s="15"/>
      <c r="E21" s="17">
        <f>E19+E20</f>
        <v>26703.473035712002</v>
      </c>
    </row>
    <row r="22" spans="1:5" x14ac:dyDescent="0.25">
      <c r="A22" s="20"/>
      <c r="B22" s="21"/>
      <c r="C22" s="22"/>
      <c r="D22" s="22"/>
      <c r="E22" s="23"/>
    </row>
    <row r="23" spans="1:5" x14ac:dyDescent="0.25">
      <c r="A23" s="1" t="s">
        <v>2</v>
      </c>
    </row>
    <row r="24" spans="1:5" x14ac:dyDescent="0.25">
      <c r="A24" s="1" t="s">
        <v>27</v>
      </c>
    </row>
    <row r="25" spans="1:5" x14ac:dyDescent="0.25">
      <c r="A25" s="1" t="s">
        <v>31</v>
      </c>
    </row>
    <row r="26" spans="1:5" x14ac:dyDescent="0.25">
      <c r="A26" s="4" t="s">
        <v>28</v>
      </c>
    </row>
    <row r="27" spans="1:5" x14ac:dyDescent="0.25">
      <c r="A27" s="1" t="s">
        <v>29</v>
      </c>
    </row>
    <row r="31" spans="1:5" x14ac:dyDescent="0.25">
      <c r="E31"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E21" sqref="E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0</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7</v>
      </c>
      <c r="D7" s="2" t="s">
        <v>8</v>
      </c>
      <c r="E7" s="3"/>
    </row>
    <row r="8" spans="1:5" x14ac:dyDescent="0.25">
      <c r="A8" s="4" t="s">
        <v>9</v>
      </c>
      <c r="D8" s="2" t="str">
        <f>A8</f>
        <v>"___" ___________ 2017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39</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38</v>
      </c>
      <c r="C17" s="11" t="s">
        <v>37</v>
      </c>
      <c r="D17" s="12" t="s">
        <v>36</v>
      </c>
      <c r="E17" s="13">
        <f>3128.66*2.4*1.2*0.805*3.99</f>
        <v>28941.406522559999</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3053.740652256</v>
      </c>
      <c r="E19" s="17">
        <f>D19</f>
        <v>3053.740652256</v>
      </c>
    </row>
    <row r="20" spans="1:5" ht="48" customHeight="1" x14ac:dyDescent="0.25">
      <c r="A20" s="10">
        <v>4</v>
      </c>
      <c r="B20" s="12" t="s">
        <v>22</v>
      </c>
      <c r="C20" s="15"/>
      <c r="D20" s="16"/>
      <c r="E20" s="17">
        <v>5000</v>
      </c>
    </row>
    <row r="21" spans="1:5" ht="48" customHeight="1" x14ac:dyDescent="0.25">
      <c r="A21" s="10">
        <v>5</v>
      </c>
      <c r="B21" s="12" t="s">
        <v>23</v>
      </c>
      <c r="C21" s="15"/>
      <c r="D21" s="16"/>
      <c r="E21" s="17">
        <v>33613.4</v>
      </c>
    </row>
    <row r="22" spans="1:5" x14ac:dyDescent="0.25">
      <c r="A22" s="18"/>
      <c r="B22" s="19" t="s">
        <v>24</v>
      </c>
      <c r="C22" s="15"/>
      <c r="D22" s="15"/>
      <c r="E22" s="17">
        <f>E21+E20+E19+E18+E17</f>
        <v>72204.547174815991</v>
      </c>
    </row>
    <row r="23" spans="1:5" x14ac:dyDescent="0.25">
      <c r="A23" s="18"/>
      <c r="B23" s="19" t="s">
        <v>25</v>
      </c>
      <c r="C23" s="15"/>
      <c r="D23" s="15"/>
      <c r="E23" s="17">
        <f>ROUND(E22*18%,2)</f>
        <v>12996.82</v>
      </c>
    </row>
    <row r="24" spans="1:5" x14ac:dyDescent="0.25">
      <c r="A24" s="18"/>
      <c r="B24" s="19" t="s">
        <v>26</v>
      </c>
      <c r="C24" s="15"/>
      <c r="D24" s="15"/>
      <c r="E24" s="17">
        <f>E22+E23</f>
        <v>85201.367174815998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0" zoomScaleNormal="100" workbookViewId="0">
      <selection activeCell="C11" sqref="C1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39" t="s">
        <v>159</v>
      </c>
    </row>
    <row r="12" spans="1:5" x14ac:dyDescent="0.25">
      <c r="C12" s="7"/>
    </row>
    <row r="13" spans="1:5" ht="35.25" customHeight="1" x14ac:dyDescent="0.25">
      <c r="A13" s="118" t="s">
        <v>155</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156</v>
      </c>
      <c r="C16" s="11" t="s">
        <v>157</v>
      </c>
      <c r="D16" s="12" t="s">
        <v>158</v>
      </c>
      <c r="E16" s="13">
        <f>1777.93*2.4*1.2*0.805*3.83</f>
        <v>15787.079652960003</v>
      </c>
    </row>
    <row r="17" spans="1:5" ht="57.75" customHeight="1" x14ac:dyDescent="0.25">
      <c r="A17" s="10">
        <v>2</v>
      </c>
      <c r="B17" s="38" t="s">
        <v>17</v>
      </c>
      <c r="C17" s="12" t="s">
        <v>18</v>
      </c>
      <c r="D17" s="12" t="s">
        <v>145</v>
      </c>
      <c r="E17" s="13">
        <f>800*1*0.5*3.83</f>
        <v>1532</v>
      </c>
    </row>
    <row r="18" spans="1:5" ht="48" customHeight="1" x14ac:dyDescent="0.25">
      <c r="A18" s="10">
        <v>3</v>
      </c>
      <c r="B18" s="12" t="s">
        <v>20</v>
      </c>
      <c r="C18" s="15" t="s">
        <v>21</v>
      </c>
      <c r="D18" s="16">
        <f>(E16+E17)*0.1</f>
        <v>1731.9079652960006</v>
      </c>
      <c r="E18" s="17">
        <f>D18</f>
        <v>1731.9079652960006</v>
      </c>
    </row>
    <row r="19" spans="1:5" ht="48" customHeight="1" x14ac:dyDescent="0.25">
      <c r="A19" s="10">
        <v>4</v>
      </c>
      <c r="B19" s="12" t="s">
        <v>23</v>
      </c>
      <c r="C19" s="15"/>
      <c r="D19" s="16"/>
      <c r="E19" s="17">
        <v>40498</v>
      </c>
    </row>
    <row r="20" spans="1:5" x14ac:dyDescent="0.25">
      <c r="A20" s="18"/>
      <c r="B20" s="19" t="s">
        <v>24</v>
      </c>
      <c r="C20" s="15"/>
      <c r="D20" s="15"/>
      <c r="E20" s="17">
        <f>E18+E17+E16+E19</f>
        <v>59548.987618256004</v>
      </c>
    </row>
    <row r="21" spans="1:5" x14ac:dyDescent="0.25">
      <c r="A21" s="18"/>
      <c r="B21" s="19" t="s">
        <v>25</v>
      </c>
      <c r="C21" s="15"/>
      <c r="D21" s="15"/>
      <c r="E21" s="17">
        <f>ROUND(E20*18%,2)</f>
        <v>10718.82</v>
      </c>
    </row>
    <row r="22" spans="1:5" x14ac:dyDescent="0.25">
      <c r="A22" s="18"/>
      <c r="B22" s="19" t="s">
        <v>26</v>
      </c>
      <c r="C22" s="15"/>
      <c r="D22" s="15"/>
      <c r="E22" s="17">
        <f>E20+E21</f>
        <v>70267.807618256003</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29</v>
      </c>
    </row>
    <row r="32" spans="1:5" x14ac:dyDescent="0.25">
      <c r="E32"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7" zoomScaleNormal="100" workbookViewId="0">
      <selection activeCell="E21" sqref="E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40" t="s">
        <v>159</v>
      </c>
    </row>
    <row r="12" spans="1:5" x14ac:dyDescent="0.25">
      <c r="C12" s="7"/>
    </row>
    <row r="13" spans="1:5" ht="35.25" customHeight="1" x14ac:dyDescent="0.25">
      <c r="A13" s="118" t="s">
        <v>160</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161</v>
      </c>
      <c r="C16" s="11" t="s">
        <v>162</v>
      </c>
      <c r="D16" s="12" t="s">
        <v>163</v>
      </c>
      <c r="E16" s="13">
        <f>1527.3*2.4*1.2*0.805*3.83</f>
        <v>13561.617585599999</v>
      </c>
    </row>
    <row r="17" spans="1:5" ht="57.75" customHeight="1" x14ac:dyDescent="0.25">
      <c r="A17" s="10">
        <v>2</v>
      </c>
      <c r="B17" s="41" t="s">
        <v>17</v>
      </c>
      <c r="C17" s="12" t="s">
        <v>18</v>
      </c>
      <c r="D17" s="12" t="s">
        <v>145</v>
      </c>
      <c r="E17" s="13">
        <f>800*1*0.5*3.83</f>
        <v>1532</v>
      </c>
    </row>
    <row r="18" spans="1:5" ht="48" customHeight="1" x14ac:dyDescent="0.25">
      <c r="A18" s="10">
        <v>3</v>
      </c>
      <c r="B18" s="12" t="s">
        <v>20</v>
      </c>
      <c r="C18" s="15" t="s">
        <v>21</v>
      </c>
      <c r="D18" s="16">
        <f>(E16+E17)*0.1</f>
        <v>1509.36175856</v>
      </c>
      <c r="E18" s="17">
        <f>D18</f>
        <v>1509.36175856</v>
      </c>
    </row>
    <row r="19" spans="1:5" ht="48" customHeight="1" x14ac:dyDescent="0.25">
      <c r="A19" s="10">
        <v>4</v>
      </c>
      <c r="B19" s="12" t="s">
        <v>22</v>
      </c>
      <c r="C19" s="12" t="s">
        <v>89</v>
      </c>
      <c r="D19" s="16"/>
      <c r="E19" s="17">
        <v>2295.77</v>
      </c>
    </row>
    <row r="20" spans="1:5" ht="48" customHeight="1" x14ac:dyDescent="0.25">
      <c r="A20" s="10">
        <v>5</v>
      </c>
      <c r="B20" s="12" t="s">
        <v>23</v>
      </c>
      <c r="C20" s="15"/>
      <c r="D20" s="16"/>
      <c r="E20" s="17">
        <v>27202.07</v>
      </c>
    </row>
    <row r="21" spans="1:5" x14ac:dyDescent="0.25">
      <c r="A21" s="18"/>
      <c r="B21" s="19" t="s">
        <v>24</v>
      </c>
      <c r="C21" s="15"/>
      <c r="D21" s="15"/>
      <c r="E21" s="17">
        <f>E19+E18+E17+E16+E20</f>
        <v>46100.819344160001</v>
      </c>
    </row>
    <row r="22" spans="1:5" x14ac:dyDescent="0.25">
      <c r="A22" s="18"/>
      <c r="B22" s="19" t="s">
        <v>25</v>
      </c>
      <c r="C22" s="15"/>
      <c r="D22" s="15"/>
      <c r="E22" s="17">
        <f>ROUND(E21*18%,2)</f>
        <v>8298.15</v>
      </c>
    </row>
    <row r="23" spans="1:5" x14ac:dyDescent="0.25">
      <c r="A23" s="18"/>
      <c r="B23" s="19" t="s">
        <v>26</v>
      </c>
      <c r="C23" s="15"/>
      <c r="D23" s="15"/>
      <c r="E23" s="17">
        <f>E21+E22</f>
        <v>54398.969344160003</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E18" sqref="E18"/>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42" t="s">
        <v>159</v>
      </c>
    </row>
    <row r="12" spans="1:5" x14ac:dyDescent="0.25">
      <c r="C12" s="7"/>
    </row>
    <row r="13" spans="1:5" ht="35.25" customHeight="1" x14ac:dyDescent="0.25">
      <c r="A13" s="118" t="s">
        <v>164</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165</v>
      </c>
      <c r="C16" s="11" t="s">
        <v>166</v>
      </c>
      <c r="D16" s="12" t="s">
        <v>167</v>
      </c>
      <c r="E16" s="13">
        <f>987.89*2.4*1.2*0.805*3.83</f>
        <v>8771.941594079999</v>
      </c>
    </row>
    <row r="17" spans="1:5" ht="57.75" customHeight="1" x14ac:dyDescent="0.25">
      <c r="A17" s="10">
        <v>2</v>
      </c>
      <c r="B17" s="43" t="s">
        <v>17</v>
      </c>
      <c r="C17" s="12" t="s">
        <v>18</v>
      </c>
      <c r="D17" s="12" t="s">
        <v>168</v>
      </c>
      <c r="E17" s="13">
        <f>800*2*0.5*3.83</f>
        <v>3064</v>
      </c>
    </row>
    <row r="18" spans="1:5" ht="48" customHeight="1" x14ac:dyDescent="0.25">
      <c r="A18" s="10">
        <v>3</v>
      </c>
      <c r="B18" s="12" t="s">
        <v>20</v>
      </c>
      <c r="C18" s="15" t="s">
        <v>21</v>
      </c>
      <c r="D18" s="16">
        <f>(E16+E17)*0.1</f>
        <v>1183.594159408</v>
      </c>
      <c r="E18" s="17">
        <f>D18</f>
        <v>1183.594159408</v>
      </c>
    </row>
    <row r="19" spans="1:5" ht="48" customHeight="1" x14ac:dyDescent="0.25">
      <c r="A19" s="10">
        <v>4</v>
      </c>
      <c r="B19" s="12" t="s">
        <v>22</v>
      </c>
      <c r="C19" s="12" t="s">
        <v>89</v>
      </c>
      <c r="D19" s="16"/>
      <c r="E19" s="17">
        <v>10169.5</v>
      </c>
    </row>
    <row r="20" spans="1:5" ht="48" customHeight="1" x14ac:dyDescent="0.25">
      <c r="A20" s="10">
        <v>5</v>
      </c>
      <c r="B20" s="12" t="s">
        <v>23</v>
      </c>
      <c r="C20" s="15"/>
      <c r="D20" s="16"/>
      <c r="E20" s="17">
        <v>25637.68</v>
      </c>
    </row>
    <row r="21" spans="1:5" x14ac:dyDescent="0.25">
      <c r="A21" s="18"/>
      <c r="B21" s="19" t="s">
        <v>24</v>
      </c>
      <c r="C21" s="15"/>
      <c r="D21" s="15"/>
      <c r="E21" s="17">
        <f>E19+E18+E17+E16+E20</f>
        <v>48826.715753487995</v>
      </c>
    </row>
    <row r="22" spans="1:5" x14ac:dyDescent="0.25">
      <c r="A22" s="18"/>
      <c r="B22" s="19" t="s">
        <v>25</v>
      </c>
      <c r="C22" s="15"/>
      <c r="D22" s="15"/>
      <c r="E22" s="17">
        <f>ROUND(E21*18%,2)</f>
        <v>8788.81</v>
      </c>
    </row>
    <row r="23" spans="1:5" x14ac:dyDescent="0.25">
      <c r="A23" s="18"/>
      <c r="B23" s="19" t="s">
        <v>26</v>
      </c>
      <c r="C23" s="15"/>
      <c r="D23" s="15"/>
      <c r="E23" s="17">
        <f>E21+E22</f>
        <v>57615.525753487993</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E19" sqref="E19"/>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44" t="s">
        <v>159</v>
      </c>
    </row>
    <row r="12" spans="1:5" x14ac:dyDescent="0.25">
      <c r="C12" s="7"/>
    </row>
    <row r="13" spans="1:5" ht="35.25" customHeight="1" x14ac:dyDescent="0.25">
      <c r="A13" s="118" t="s">
        <v>169</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170</v>
      </c>
      <c r="C16" s="11" t="s">
        <v>171</v>
      </c>
      <c r="D16" s="12" t="s">
        <v>172</v>
      </c>
      <c r="E16" s="13">
        <f>1217.55*2.4*1.2*0.805*3.83</f>
        <v>10811.201133600001</v>
      </c>
    </row>
    <row r="17" spans="1:5" ht="57.75" customHeight="1" x14ac:dyDescent="0.25">
      <c r="A17" s="10">
        <v>2</v>
      </c>
      <c r="B17" s="45" t="s">
        <v>17</v>
      </c>
      <c r="C17" s="12" t="s">
        <v>18</v>
      </c>
      <c r="D17" s="12" t="s">
        <v>145</v>
      </c>
      <c r="E17" s="13">
        <f>800*1*0.5*3.83</f>
        <v>1532</v>
      </c>
    </row>
    <row r="18" spans="1:5" ht="48" customHeight="1" x14ac:dyDescent="0.25">
      <c r="A18" s="10">
        <v>3</v>
      </c>
      <c r="B18" s="12" t="s">
        <v>20</v>
      </c>
      <c r="C18" s="15" t="s">
        <v>21</v>
      </c>
      <c r="D18" s="16">
        <f>(E16+E17)*0.1</f>
        <v>1234.3201133600003</v>
      </c>
      <c r="E18" s="17">
        <f>D18</f>
        <v>1234.3201133600003</v>
      </c>
    </row>
    <row r="19" spans="1:5" ht="48" customHeight="1" x14ac:dyDescent="0.25">
      <c r="A19" s="10">
        <v>4</v>
      </c>
      <c r="B19" s="12" t="s">
        <v>22</v>
      </c>
      <c r="C19" s="12" t="s">
        <v>89</v>
      </c>
      <c r="D19" s="16"/>
      <c r="E19" s="17">
        <v>16752.55</v>
      </c>
    </row>
    <row r="20" spans="1:5" ht="48" customHeight="1" x14ac:dyDescent="0.25">
      <c r="A20" s="10">
        <v>5</v>
      </c>
      <c r="B20" s="12" t="s">
        <v>23</v>
      </c>
      <c r="C20" s="15"/>
      <c r="D20" s="16"/>
      <c r="E20" s="17">
        <v>28724</v>
      </c>
    </row>
    <row r="21" spans="1:5" x14ac:dyDescent="0.25">
      <c r="A21" s="18"/>
      <c r="B21" s="19" t="s">
        <v>24</v>
      </c>
      <c r="C21" s="15"/>
      <c r="D21" s="15"/>
      <c r="E21" s="17">
        <f>E19+E18+E17+E16+E20</f>
        <v>59054.071246960004</v>
      </c>
    </row>
    <row r="22" spans="1:5" x14ac:dyDescent="0.25">
      <c r="A22" s="18"/>
      <c r="B22" s="19" t="s">
        <v>25</v>
      </c>
      <c r="C22" s="15"/>
      <c r="D22" s="15"/>
      <c r="E22" s="17">
        <f>ROUND(E21*18%,2)</f>
        <v>10629.73</v>
      </c>
    </row>
    <row r="23" spans="1:5" x14ac:dyDescent="0.25">
      <c r="A23" s="18"/>
      <c r="B23" s="19" t="s">
        <v>26</v>
      </c>
      <c r="C23" s="15"/>
      <c r="D23" s="15"/>
      <c r="E23" s="17">
        <f>E21+E22</f>
        <v>69683.801246960007</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0" zoomScaleNormal="100" workbookViewId="0">
      <selection activeCell="E23" sqref="E23"/>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46" t="s">
        <v>159</v>
      </c>
    </row>
    <row r="12" spans="1:5" x14ac:dyDescent="0.25">
      <c r="C12" s="7"/>
    </row>
    <row r="13" spans="1:5" ht="35.25" customHeight="1" x14ac:dyDescent="0.25">
      <c r="A13" s="118" t="s">
        <v>173</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174</v>
      </c>
      <c r="C16" s="11" t="s">
        <v>175</v>
      </c>
      <c r="D16" s="12" t="s">
        <v>176</v>
      </c>
      <c r="E16" s="13">
        <f>747.76*2.4*1.2*0.805*3.83</f>
        <v>6639.7139827200008</v>
      </c>
    </row>
    <row r="17" spans="1:5" ht="57.75" customHeight="1" x14ac:dyDescent="0.25">
      <c r="A17" s="10">
        <v>2</v>
      </c>
      <c r="B17" s="47" t="s">
        <v>17</v>
      </c>
      <c r="C17" s="12" t="s">
        <v>18</v>
      </c>
      <c r="D17" s="12" t="s">
        <v>145</v>
      </c>
      <c r="E17" s="13">
        <f>800*1*0.5*3.83</f>
        <v>1532</v>
      </c>
    </row>
    <row r="18" spans="1:5" ht="48" customHeight="1" x14ac:dyDescent="0.25">
      <c r="A18" s="10">
        <v>3</v>
      </c>
      <c r="B18" s="12" t="s">
        <v>20</v>
      </c>
      <c r="C18" s="15" t="s">
        <v>21</v>
      </c>
      <c r="D18" s="16">
        <f>(E16+E17)*0.1</f>
        <v>817.17139827200015</v>
      </c>
      <c r="E18" s="17">
        <f>D18</f>
        <v>817.17139827200015</v>
      </c>
    </row>
    <row r="19" spans="1:5" ht="48" customHeight="1" x14ac:dyDescent="0.25">
      <c r="A19" s="10">
        <v>4</v>
      </c>
      <c r="B19" s="12" t="s">
        <v>22</v>
      </c>
      <c r="C19" s="12" t="s">
        <v>89</v>
      </c>
      <c r="D19" s="16"/>
      <c r="E19" s="17">
        <v>5076.76</v>
      </c>
    </row>
    <row r="20" spans="1:5" ht="48" customHeight="1" x14ac:dyDescent="0.25">
      <c r="A20" s="10">
        <v>5</v>
      </c>
      <c r="B20" s="12" t="s">
        <v>23</v>
      </c>
      <c r="C20" s="15"/>
      <c r="D20" s="16"/>
      <c r="E20" s="17">
        <v>31764</v>
      </c>
    </row>
    <row r="21" spans="1:5" x14ac:dyDescent="0.25">
      <c r="A21" s="18"/>
      <c r="B21" s="19" t="s">
        <v>24</v>
      </c>
      <c r="C21" s="15"/>
      <c r="D21" s="15"/>
      <c r="E21" s="17">
        <f>E19+E18+E17+E16+E20</f>
        <v>45829.645380992006</v>
      </c>
    </row>
    <row r="22" spans="1:5" x14ac:dyDescent="0.25">
      <c r="A22" s="18"/>
      <c r="B22" s="19" t="s">
        <v>25</v>
      </c>
      <c r="C22" s="15"/>
      <c r="D22" s="15"/>
      <c r="E22" s="17">
        <f>ROUND(E21*18%,2)</f>
        <v>8249.34</v>
      </c>
    </row>
    <row r="23" spans="1:5" x14ac:dyDescent="0.25">
      <c r="A23" s="18"/>
      <c r="B23" s="19" t="s">
        <v>26</v>
      </c>
      <c r="C23" s="15"/>
      <c r="D23" s="15"/>
      <c r="E23" s="17">
        <f>E21+E22</f>
        <v>54078.985380992002</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Normal="100" workbookViewId="0">
      <selection activeCell="D17" sqref="D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48" t="s">
        <v>159</v>
      </c>
    </row>
    <row r="12" spans="1:5" x14ac:dyDescent="0.25">
      <c r="C12" s="7"/>
    </row>
    <row r="13" spans="1:5" ht="35.25" customHeight="1" x14ac:dyDescent="0.25">
      <c r="A13" s="118" t="s">
        <v>180</v>
      </c>
      <c r="B13" s="118"/>
      <c r="C13" s="118"/>
      <c r="D13" s="118"/>
      <c r="E13" s="118"/>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177</v>
      </c>
      <c r="C16" s="11" t="s">
        <v>178</v>
      </c>
      <c r="D16" s="12" t="s">
        <v>179</v>
      </c>
      <c r="E16" s="13">
        <f>2681.4*2.4*1.2*0.805*3.83</f>
        <v>23809.416220799998</v>
      </c>
    </row>
    <row r="17" spans="1:5" ht="57.75" customHeight="1" x14ac:dyDescent="0.25">
      <c r="A17" s="10">
        <v>2</v>
      </c>
      <c r="B17" s="49" t="s">
        <v>17</v>
      </c>
      <c r="C17" s="12" t="s">
        <v>18</v>
      </c>
      <c r="D17" s="12" t="s">
        <v>145</v>
      </c>
      <c r="E17" s="13">
        <f>800*1*0.5*3.83</f>
        <v>1532</v>
      </c>
    </row>
    <row r="18" spans="1:5" ht="48" customHeight="1" x14ac:dyDescent="0.25">
      <c r="A18" s="10">
        <v>3</v>
      </c>
      <c r="B18" s="12" t="s">
        <v>20</v>
      </c>
      <c r="C18" s="15" t="s">
        <v>21</v>
      </c>
      <c r="D18" s="16">
        <f>(E16+E17)*0.1</f>
        <v>2534.1416220800002</v>
      </c>
      <c r="E18" s="17">
        <f>D18</f>
        <v>2534.1416220800002</v>
      </c>
    </row>
    <row r="19" spans="1:5" ht="48" customHeight="1" x14ac:dyDescent="0.25">
      <c r="A19" s="10">
        <v>4</v>
      </c>
      <c r="B19" s="12" t="s">
        <v>22</v>
      </c>
      <c r="C19" s="12" t="s">
        <v>89</v>
      </c>
      <c r="D19" s="16"/>
      <c r="E19" s="17">
        <v>5000</v>
      </c>
    </row>
    <row r="20" spans="1:5" ht="48" customHeight="1" x14ac:dyDescent="0.25">
      <c r="A20" s="10">
        <v>5</v>
      </c>
      <c r="B20" s="12" t="s">
        <v>23</v>
      </c>
      <c r="C20" s="15"/>
      <c r="D20" s="16"/>
      <c r="E20" s="17">
        <v>66522</v>
      </c>
    </row>
    <row r="21" spans="1:5" x14ac:dyDescent="0.25">
      <c r="A21" s="18"/>
      <c r="B21" s="19" t="s">
        <v>24</v>
      </c>
      <c r="C21" s="15"/>
      <c r="D21" s="15"/>
      <c r="E21" s="17">
        <f>E19+E18+E17+E16+E20</f>
        <v>99397.557842879993</v>
      </c>
    </row>
    <row r="22" spans="1:5" x14ac:dyDescent="0.25">
      <c r="A22" s="18"/>
      <c r="B22" s="19" t="s">
        <v>25</v>
      </c>
      <c r="C22" s="15"/>
      <c r="D22" s="15"/>
      <c r="E22" s="17">
        <f>ROUND(E21*18%,2)</f>
        <v>17891.560000000001</v>
      </c>
    </row>
    <row r="23" spans="1:5" x14ac:dyDescent="0.25">
      <c r="A23" s="18"/>
      <c r="B23" s="19" t="s">
        <v>26</v>
      </c>
      <c r="C23" s="15"/>
      <c r="D23" s="15"/>
      <c r="E23" s="17">
        <f>E21+E22</f>
        <v>117289.11784287999</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zoomScaleNormal="100" workbookViewId="0">
      <selection activeCell="A10" sqref="A10:I10"/>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27" t="s">
        <v>181</v>
      </c>
      <c r="D1" s="127"/>
      <c r="E1" s="127"/>
      <c r="F1" s="127"/>
      <c r="G1" s="127"/>
      <c r="H1" s="127"/>
      <c r="I1" s="127"/>
    </row>
    <row r="2" spans="1:256" x14ac:dyDescent="0.2">
      <c r="F2" s="51"/>
      <c r="G2" s="51"/>
      <c r="H2" s="51"/>
      <c r="I2" s="51"/>
    </row>
    <row r="3" spans="1:256" s="52" customFormat="1" ht="15.75" x14ac:dyDescent="0.25">
      <c r="A3" s="52" t="s">
        <v>1</v>
      </c>
      <c r="H3" s="52" t="s">
        <v>182</v>
      </c>
    </row>
    <row r="4" spans="1:256" s="52" customFormat="1" ht="15.75" x14ac:dyDescent="0.25">
      <c r="A4" s="52" t="s">
        <v>183</v>
      </c>
      <c r="H4" s="52" t="s">
        <v>4</v>
      </c>
    </row>
    <row r="5" spans="1:256" s="52" customFormat="1" ht="15.75" x14ac:dyDescent="0.25">
      <c r="A5" s="52" t="s">
        <v>5</v>
      </c>
      <c r="H5" s="52" t="s">
        <v>6</v>
      </c>
    </row>
    <row r="6" spans="1:256" s="52" customFormat="1" ht="15.75" x14ac:dyDescent="0.25"/>
    <row r="7" spans="1:256" s="52" customFormat="1" ht="15.75" x14ac:dyDescent="0.25">
      <c r="A7" s="2" t="s">
        <v>184</v>
      </c>
      <c r="H7" s="2" t="s">
        <v>185</v>
      </c>
    </row>
    <row r="8" spans="1:256" s="52" customFormat="1" ht="15.75" x14ac:dyDescent="0.25">
      <c r="A8" s="2" t="s">
        <v>186</v>
      </c>
      <c r="H8" s="53" t="str">
        <f>A8</f>
        <v>"___"  ____________  2018г.</v>
      </c>
      <c r="I8" s="54"/>
    </row>
    <row r="9" spans="1:256" s="52" customFormat="1" ht="11.25" customHeight="1" x14ac:dyDescent="0.25">
      <c r="A9" s="2"/>
      <c r="D9" s="53"/>
      <c r="E9" s="54"/>
    </row>
    <row r="10" spans="1:256" ht="15.75" x14ac:dyDescent="0.2">
      <c r="A10" s="128" t="s">
        <v>187</v>
      </c>
      <c r="B10" s="128"/>
      <c r="C10" s="128"/>
      <c r="D10" s="128"/>
      <c r="E10" s="128"/>
      <c r="F10" s="128"/>
      <c r="G10" s="128"/>
      <c r="H10" s="128"/>
      <c r="I10" s="128"/>
    </row>
    <row r="11" spans="1:256" ht="15.75" customHeight="1" x14ac:dyDescent="0.2">
      <c r="A11" s="129" t="s">
        <v>159</v>
      </c>
      <c r="B11" s="130"/>
      <c r="C11" s="130"/>
      <c r="D11" s="130"/>
      <c r="E11" s="130"/>
      <c r="F11" s="130"/>
      <c r="G11" s="130"/>
      <c r="H11" s="130"/>
      <c r="I11" s="130"/>
    </row>
    <row r="12" spans="1:256" x14ac:dyDescent="0.2">
      <c r="A12" s="55"/>
      <c r="B12" s="56"/>
      <c r="C12" s="57"/>
      <c r="D12" s="57"/>
      <c r="E12" s="57"/>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c r="GE12" s="56"/>
      <c r="GF12" s="56"/>
      <c r="GG12" s="56"/>
      <c r="GH12" s="56"/>
      <c r="GI12" s="56"/>
      <c r="GJ12" s="56"/>
      <c r="GK12" s="56"/>
      <c r="GL12" s="56"/>
      <c r="GM12" s="56"/>
      <c r="GN12" s="56"/>
      <c r="GO12" s="56"/>
      <c r="GP12" s="56"/>
      <c r="GQ12" s="56"/>
      <c r="GR12" s="56"/>
      <c r="GS12" s="56"/>
      <c r="GT12" s="56"/>
      <c r="GU12" s="56"/>
      <c r="GV12" s="56"/>
      <c r="GW12" s="56"/>
      <c r="GX12" s="56"/>
      <c r="GY12" s="56"/>
      <c r="GZ12" s="56"/>
      <c r="HA12" s="56"/>
      <c r="HB12" s="56"/>
      <c r="HC12" s="56"/>
      <c r="HD12" s="56"/>
      <c r="HE12" s="56"/>
      <c r="HF12" s="56"/>
      <c r="HG12" s="56"/>
      <c r="HH12" s="56"/>
      <c r="HI12" s="56"/>
      <c r="HJ12" s="56"/>
      <c r="HK12" s="56"/>
      <c r="HL12" s="56"/>
      <c r="HM12" s="56"/>
      <c r="HN12" s="56"/>
      <c r="HO12" s="56"/>
      <c r="HP12" s="56"/>
      <c r="HQ12" s="56"/>
      <c r="HR12" s="56"/>
      <c r="HS12" s="56"/>
      <c r="HT12" s="56"/>
      <c r="HU12" s="56"/>
      <c r="HV12" s="56"/>
      <c r="HW12" s="56"/>
      <c r="HX12" s="56"/>
      <c r="HY12" s="56"/>
      <c r="HZ12" s="56"/>
      <c r="IA12" s="56"/>
      <c r="IB12" s="56"/>
      <c r="IC12" s="56"/>
      <c r="ID12" s="56"/>
      <c r="IE12" s="56"/>
      <c r="IF12" s="56"/>
      <c r="IG12" s="56"/>
      <c r="IH12" s="56"/>
      <c r="II12" s="56"/>
      <c r="IJ12" s="56"/>
      <c r="IK12" s="56"/>
      <c r="IL12" s="56"/>
      <c r="IM12" s="56"/>
      <c r="IN12" s="56"/>
      <c r="IO12" s="56"/>
      <c r="IP12" s="56"/>
      <c r="IQ12" s="56"/>
      <c r="IR12" s="56"/>
      <c r="IS12" s="56"/>
      <c r="IT12" s="56"/>
      <c r="IU12" s="56"/>
      <c r="IV12" s="56"/>
    </row>
    <row r="13" spans="1:256" ht="67.5" customHeight="1" x14ac:dyDescent="0.25">
      <c r="A13" s="131" t="s">
        <v>219</v>
      </c>
      <c r="B13" s="131"/>
      <c r="C13" s="131"/>
      <c r="D13" s="131"/>
      <c r="E13" s="131"/>
      <c r="F13" s="131"/>
      <c r="G13" s="131"/>
      <c r="H13" s="131"/>
      <c r="I13" s="131"/>
      <c r="J13" s="58"/>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c r="II13" s="56"/>
      <c r="IJ13" s="56"/>
      <c r="IK13" s="56"/>
      <c r="IL13" s="56"/>
      <c r="IM13" s="56"/>
      <c r="IN13" s="56"/>
      <c r="IO13" s="56"/>
      <c r="IP13" s="56"/>
      <c r="IQ13" s="56"/>
      <c r="IR13" s="56"/>
      <c r="IS13" s="56"/>
      <c r="IT13" s="56"/>
      <c r="IU13" s="56"/>
      <c r="IV13" s="56"/>
    </row>
    <row r="14" spans="1:256" ht="9.75" customHeight="1" x14ac:dyDescent="0.25">
      <c r="A14" s="59"/>
      <c r="B14" s="59"/>
      <c r="C14" s="59"/>
      <c r="D14" s="59"/>
      <c r="E14" s="59"/>
      <c r="F14" s="59"/>
      <c r="G14" s="59"/>
      <c r="H14" s="59"/>
      <c r="I14" s="59"/>
      <c r="J14" s="58"/>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97.5" customHeight="1" x14ac:dyDescent="0.2">
      <c r="A15" s="60" t="s">
        <v>188</v>
      </c>
      <c r="B15" s="132" t="s">
        <v>189</v>
      </c>
      <c r="C15" s="133"/>
      <c r="D15" s="132" t="s">
        <v>88</v>
      </c>
      <c r="E15" s="134"/>
      <c r="F15" s="134"/>
      <c r="G15" s="133"/>
      <c r="H15" s="61" t="s">
        <v>87</v>
      </c>
      <c r="I15" s="60" t="s">
        <v>190</v>
      </c>
    </row>
    <row r="16" spans="1:256" ht="12.75" customHeight="1" x14ac:dyDescent="0.2">
      <c r="A16" s="88" t="s">
        <v>191</v>
      </c>
      <c r="B16" s="135">
        <v>2</v>
      </c>
      <c r="C16" s="136"/>
      <c r="D16" s="135">
        <v>3</v>
      </c>
      <c r="E16" s="137"/>
      <c r="F16" s="137"/>
      <c r="G16" s="136"/>
      <c r="H16" s="62">
        <v>4</v>
      </c>
      <c r="I16" s="90">
        <v>5</v>
      </c>
    </row>
    <row r="17" spans="1:9" ht="94.5" customHeight="1" x14ac:dyDescent="0.2">
      <c r="A17" s="89" t="s">
        <v>191</v>
      </c>
      <c r="B17" s="161" t="s">
        <v>210</v>
      </c>
      <c r="C17" s="161"/>
      <c r="D17" s="162" t="s">
        <v>211</v>
      </c>
      <c r="E17" s="162"/>
      <c r="F17" s="162"/>
      <c r="G17" s="162"/>
      <c r="H17" s="85" t="s">
        <v>216</v>
      </c>
      <c r="I17" s="86">
        <f>7593.21*2.4*1.2*0.805*3.83</f>
        <v>67423.695585119989</v>
      </c>
    </row>
    <row r="18" spans="1:9" ht="126.75" customHeight="1" x14ac:dyDescent="0.2">
      <c r="A18" s="63" t="s">
        <v>200</v>
      </c>
      <c r="B18" s="138" t="s">
        <v>192</v>
      </c>
      <c r="C18" s="139"/>
      <c r="D18" s="140" t="s">
        <v>212</v>
      </c>
      <c r="E18" s="141"/>
      <c r="F18" s="141"/>
      <c r="G18" s="142"/>
      <c r="H18" s="64" t="s">
        <v>213</v>
      </c>
      <c r="I18" s="82">
        <f>(7763+42*150)*1*0.6*3.83*1.4*(1+0.1)*0.905</f>
        <v>45039.887923800001</v>
      </c>
    </row>
    <row r="19" spans="1:9" ht="15.75" customHeight="1" x14ac:dyDescent="0.2">
      <c r="A19" s="66" t="s">
        <v>193</v>
      </c>
      <c r="B19" s="143" t="s">
        <v>63</v>
      </c>
      <c r="C19" s="144"/>
      <c r="D19" s="143"/>
      <c r="E19" s="145"/>
      <c r="F19" s="145"/>
      <c r="G19" s="144"/>
      <c r="H19" s="67"/>
      <c r="I19" s="91"/>
    </row>
    <row r="20" spans="1:9" ht="25.5" customHeight="1" x14ac:dyDescent="0.2">
      <c r="A20" s="69" t="s">
        <v>193</v>
      </c>
      <c r="B20" s="146" t="s">
        <v>194</v>
      </c>
      <c r="C20" s="147"/>
      <c r="D20" s="146" t="s">
        <v>195</v>
      </c>
      <c r="E20" s="148"/>
      <c r="F20" s="148"/>
      <c r="G20" s="147"/>
      <c r="H20" s="70"/>
      <c r="I20" s="71"/>
    </row>
    <row r="21" spans="1:9" ht="38.25" customHeight="1" x14ac:dyDescent="0.2">
      <c r="A21" s="69" t="s">
        <v>193</v>
      </c>
      <c r="B21" s="146"/>
      <c r="C21" s="147"/>
      <c r="D21" s="146" t="s">
        <v>196</v>
      </c>
      <c r="E21" s="148"/>
      <c r="F21" s="148"/>
      <c r="G21" s="147"/>
      <c r="H21" s="70"/>
      <c r="I21" s="71"/>
    </row>
    <row r="22" spans="1:9" ht="25.5" customHeight="1" x14ac:dyDescent="0.2">
      <c r="A22" s="69" t="s">
        <v>193</v>
      </c>
      <c r="B22" s="146"/>
      <c r="C22" s="147"/>
      <c r="D22" s="146" t="s">
        <v>197</v>
      </c>
      <c r="E22" s="148"/>
      <c r="F22" s="148"/>
      <c r="G22" s="147"/>
      <c r="H22" s="70"/>
      <c r="I22" s="71"/>
    </row>
    <row r="23" spans="1:9" ht="25.5" customHeight="1" x14ac:dyDescent="0.2">
      <c r="A23" s="69" t="s">
        <v>193</v>
      </c>
      <c r="B23" s="146"/>
      <c r="C23" s="147"/>
      <c r="D23" s="146" t="s">
        <v>198</v>
      </c>
      <c r="E23" s="148"/>
      <c r="F23" s="148"/>
      <c r="G23" s="147"/>
      <c r="H23" s="70"/>
      <c r="I23" s="71"/>
    </row>
    <row r="24" spans="1:9" ht="77.25" customHeight="1" x14ac:dyDescent="0.2">
      <c r="A24" s="72" t="s">
        <v>193</v>
      </c>
      <c r="B24" s="149" t="s">
        <v>69</v>
      </c>
      <c r="C24" s="150"/>
      <c r="D24" s="149"/>
      <c r="E24" s="151"/>
      <c r="F24" s="151"/>
      <c r="G24" s="150"/>
      <c r="H24" s="73" t="s">
        <v>199</v>
      </c>
      <c r="I24" s="74"/>
    </row>
    <row r="25" spans="1:9" ht="103.5" customHeight="1" x14ac:dyDescent="0.2">
      <c r="A25" s="75"/>
      <c r="B25" s="163" t="s">
        <v>220</v>
      </c>
      <c r="C25" s="164"/>
      <c r="D25" s="173" t="s">
        <v>221</v>
      </c>
      <c r="E25" s="174"/>
      <c r="F25" s="174"/>
      <c r="G25" s="175"/>
      <c r="H25" s="64" t="s">
        <v>224</v>
      </c>
      <c r="I25" s="65">
        <f>(11960+0*13)*0.4*1.4*1.1*0.555*3.83</f>
        <v>15660.428784000002</v>
      </c>
    </row>
    <row r="26" spans="1:9" ht="18" customHeight="1" x14ac:dyDescent="0.2">
      <c r="A26" s="75"/>
      <c r="B26" s="143" t="s">
        <v>63</v>
      </c>
      <c r="C26" s="144"/>
      <c r="D26" s="176"/>
      <c r="E26" s="177"/>
      <c r="F26" s="177"/>
      <c r="G26" s="178"/>
      <c r="H26" s="76"/>
      <c r="I26" s="87"/>
    </row>
    <row r="27" spans="1:9" ht="28.5" customHeight="1" x14ac:dyDescent="0.2">
      <c r="A27" s="75"/>
      <c r="B27" s="158" t="s">
        <v>194</v>
      </c>
      <c r="C27" s="159"/>
      <c r="D27" s="158" t="s">
        <v>222</v>
      </c>
      <c r="E27" s="160"/>
      <c r="F27" s="160"/>
      <c r="G27" s="159"/>
      <c r="H27" s="76"/>
      <c r="I27" s="87"/>
    </row>
    <row r="28" spans="1:9" ht="39.75" customHeight="1" x14ac:dyDescent="0.2">
      <c r="A28" s="75"/>
      <c r="B28" s="168"/>
      <c r="C28" s="169"/>
      <c r="D28" s="158" t="s">
        <v>196</v>
      </c>
      <c r="E28" s="160"/>
      <c r="F28" s="160"/>
      <c r="G28" s="159"/>
      <c r="H28" s="76"/>
      <c r="I28" s="87"/>
    </row>
    <row r="29" spans="1:9" ht="27.75" customHeight="1" x14ac:dyDescent="0.2">
      <c r="A29" s="75"/>
      <c r="B29" s="168"/>
      <c r="C29" s="169"/>
      <c r="D29" s="158" t="s">
        <v>197</v>
      </c>
      <c r="E29" s="160"/>
      <c r="F29" s="160"/>
      <c r="G29" s="159"/>
      <c r="H29" s="76"/>
      <c r="I29" s="87"/>
    </row>
    <row r="30" spans="1:9" ht="25.5" customHeight="1" x14ac:dyDescent="0.2">
      <c r="A30" s="75"/>
      <c r="B30" s="168"/>
      <c r="C30" s="169"/>
      <c r="D30" s="146" t="s">
        <v>198</v>
      </c>
      <c r="E30" s="148"/>
      <c r="F30" s="148"/>
      <c r="G30" s="147"/>
      <c r="H30" s="76"/>
      <c r="I30" s="87"/>
    </row>
    <row r="31" spans="1:9" ht="54.75" customHeight="1" x14ac:dyDescent="0.2">
      <c r="A31" s="75"/>
      <c r="B31" s="149" t="s">
        <v>69</v>
      </c>
      <c r="C31" s="150"/>
      <c r="D31" s="149"/>
      <c r="E31" s="151"/>
      <c r="F31" s="151"/>
      <c r="G31" s="150"/>
      <c r="H31" s="73" t="s">
        <v>223</v>
      </c>
      <c r="I31" s="87"/>
    </row>
    <row r="32" spans="1:9" ht="106.5" customHeight="1" x14ac:dyDescent="0.2">
      <c r="A32" s="75" t="s">
        <v>201</v>
      </c>
      <c r="B32" s="163" t="s">
        <v>71</v>
      </c>
      <c r="C32" s="164"/>
      <c r="D32" s="165" t="s">
        <v>214</v>
      </c>
      <c r="E32" s="166"/>
      <c r="F32" s="166"/>
      <c r="G32" s="167"/>
      <c r="H32" s="76" t="s">
        <v>215</v>
      </c>
      <c r="I32" s="77">
        <f>(0+800*2)*1*0.5*3.83</f>
        <v>3064</v>
      </c>
    </row>
    <row r="33" spans="1:256" ht="15.75" customHeight="1" x14ac:dyDescent="0.2">
      <c r="A33" s="66" t="s">
        <v>193</v>
      </c>
      <c r="B33" s="143" t="s">
        <v>63</v>
      </c>
      <c r="C33" s="144"/>
      <c r="D33" s="143"/>
      <c r="E33" s="145"/>
      <c r="F33" s="145"/>
      <c r="G33" s="144"/>
      <c r="H33" s="67"/>
      <c r="I33" s="68"/>
    </row>
    <row r="34" spans="1:256" ht="12.75" customHeight="1" x14ac:dyDescent="0.2">
      <c r="A34" s="69" t="s">
        <v>193</v>
      </c>
      <c r="B34" s="158" t="s">
        <v>64</v>
      </c>
      <c r="C34" s="159"/>
      <c r="D34" s="158" t="s">
        <v>74</v>
      </c>
      <c r="E34" s="160"/>
      <c r="F34" s="160"/>
      <c r="G34" s="159"/>
      <c r="H34" s="70"/>
      <c r="I34" s="71"/>
    </row>
    <row r="35" spans="1:256" ht="38.25" customHeight="1" x14ac:dyDescent="0.2">
      <c r="A35" s="69" t="s">
        <v>193</v>
      </c>
      <c r="B35" s="158"/>
      <c r="C35" s="159"/>
      <c r="D35" s="158" t="s">
        <v>196</v>
      </c>
      <c r="E35" s="160"/>
      <c r="F35" s="160"/>
      <c r="G35" s="159"/>
      <c r="H35" s="70"/>
      <c r="I35" s="71"/>
    </row>
    <row r="36" spans="1:256" ht="22.5" customHeight="1" x14ac:dyDescent="0.2">
      <c r="A36" s="72" t="s">
        <v>193</v>
      </c>
      <c r="B36" s="170" t="s">
        <v>69</v>
      </c>
      <c r="C36" s="171"/>
      <c r="D36" s="170"/>
      <c r="E36" s="172"/>
      <c r="F36" s="172"/>
      <c r="G36" s="171"/>
      <c r="H36" s="73" t="s">
        <v>75</v>
      </c>
      <c r="I36" s="74"/>
    </row>
    <row r="37" spans="1:256" ht="12.75" customHeight="1" x14ac:dyDescent="0.2">
      <c r="A37" s="72" t="s">
        <v>202</v>
      </c>
      <c r="B37" s="152" t="s">
        <v>76</v>
      </c>
      <c r="C37" s="153"/>
      <c r="D37" s="152"/>
      <c r="E37" s="154"/>
      <c r="F37" s="154"/>
      <c r="G37" s="153"/>
      <c r="H37" s="78"/>
      <c r="I37" s="79">
        <f>I17+I18+I25+I32</f>
        <v>131188.01229291997</v>
      </c>
    </row>
    <row r="38" spans="1:256" ht="12.75" customHeight="1" x14ac:dyDescent="0.2">
      <c r="A38" s="80" t="s">
        <v>203</v>
      </c>
      <c r="B38" s="155" t="s">
        <v>77</v>
      </c>
      <c r="C38" s="156"/>
      <c r="D38" s="155"/>
      <c r="E38" s="157"/>
      <c r="F38" s="157"/>
      <c r="G38" s="156"/>
      <c r="H38" s="81" t="s">
        <v>217</v>
      </c>
      <c r="I38" s="82">
        <f>I37*0.1</f>
        <v>13118.801229291998</v>
      </c>
    </row>
    <row r="39" spans="1:256" ht="25.5" customHeight="1" x14ac:dyDescent="0.2">
      <c r="A39" s="80" t="s">
        <v>204</v>
      </c>
      <c r="B39" s="155" t="s">
        <v>80</v>
      </c>
      <c r="C39" s="156"/>
      <c r="D39" s="155"/>
      <c r="E39" s="157"/>
      <c r="F39" s="157"/>
      <c r="G39" s="156"/>
      <c r="H39" s="81" t="s">
        <v>79</v>
      </c>
      <c r="I39" s="82">
        <v>8474.58</v>
      </c>
    </row>
    <row r="40" spans="1:256" ht="12.75" customHeight="1" x14ac:dyDescent="0.2">
      <c r="A40" s="80" t="s">
        <v>205</v>
      </c>
      <c r="B40" s="155" t="s">
        <v>81</v>
      </c>
      <c r="C40" s="156"/>
      <c r="D40" s="155"/>
      <c r="E40" s="157"/>
      <c r="F40" s="157"/>
      <c r="G40" s="156"/>
      <c r="H40" s="81" t="s">
        <v>218</v>
      </c>
      <c r="I40" s="82">
        <f>I37+I38+I39</f>
        <v>152781.39352221196</v>
      </c>
    </row>
    <row r="41" spans="1:256" ht="12.75" customHeight="1" x14ac:dyDescent="0.2">
      <c r="A41" s="80" t="s">
        <v>206</v>
      </c>
      <c r="B41" s="155" t="s">
        <v>207</v>
      </c>
      <c r="C41" s="156"/>
      <c r="D41" s="155"/>
      <c r="E41" s="157"/>
      <c r="F41" s="157"/>
      <c r="G41" s="156"/>
      <c r="H41" s="81" t="s">
        <v>84</v>
      </c>
      <c r="I41" s="82">
        <f>ROUND(I40*18%,2)</f>
        <v>27500.65</v>
      </c>
    </row>
    <row r="42" spans="1:256" ht="12.75" customHeight="1" x14ac:dyDescent="0.2">
      <c r="A42" s="80" t="s">
        <v>208</v>
      </c>
      <c r="B42" s="152" t="s">
        <v>85</v>
      </c>
      <c r="C42" s="153"/>
      <c r="D42" s="152"/>
      <c r="E42" s="154"/>
      <c r="F42" s="154"/>
      <c r="G42" s="153"/>
      <c r="H42" s="83" t="s">
        <v>86</v>
      </c>
      <c r="I42" s="84">
        <f>I40+I41</f>
        <v>180282.04352221196</v>
      </c>
    </row>
    <row r="44" spans="1:256" ht="12.75" customHeight="1" x14ac:dyDescent="0.25">
      <c r="A44" s="52" t="s">
        <v>209</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row r="45" spans="1:256" ht="13.5" customHeight="1" x14ac:dyDescent="0.25">
      <c r="A45" s="1" t="s">
        <v>27</v>
      </c>
      <c r="B45" s="1"/>
      <c r="C45" s="1"/>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c r="EF45" s="52"/>
      <c r="EG45" s="52"/>
      <c r="EH45" s="52"/>
      <c r="EI45" s="52"/>
      <c r="EJ45" s="52"/>
      <c r="EK45" s="52"/>
      <c r="EL45" s="52"/>
      <c r="EM45" s="52"/>
      <c r="EN45" s="52"/>
      <c r="EO45" s="52"/>
      <c r="EP45" s="52"/>
      <c r="EQ45" s="52"/>
      <c r="ER45" s="52"/>
      <c r="ES45" s="52"/>
      <c r="ET45" s="52"/>
      <c r="EU45" s="52"/>
      <c r="EV45" s="52"/>
      <c r="EW45" s="52"/>
      <c r="EX45" s="52"/>
      <c r="EY45" s="52"/>
      <c r="EZ45" s="52"/>
      <c r="FA45" s="52"/>
      <c r="FB45" s="52"/>
      <c r="FC45" s="52"/>
      <c r="FD45" s="52"/>
      <c r="FE45" s="52"/>
      <c r="FF45" s="52"/>
      <c r="FG45" s="52"/>
      <c r="FH45" s="52"/>
      <c r="FI45" s="52"/>
      <c r="FJ45" s="52"/>
      <c r="FK45" s="52"/>
      <c r="FL45" s="52"/>
      <c r="FM45" s="52"/>
      <c r="FN45" s="52"/>
      <c r="FO45" s="52"/>
      <c r="FP45" s="52"/>
      <c r="FQ45" s="52"/>
      <c r="FR45" s="52"/>
      <c r="FS45" s="52"/>
      <c r="FT45" s="52"/>
      <c r="FU45" s="52"/>
      <c r="FV45" s="52"/>
      <c r="FW45" s="52"/>
      <c r="FX45" s="52"/>
      <c r="FY45" s="52"/>
      <c r="FZ45" s="52"/>
      <c r="GA45" s="52"/>
      <c r="GB45" s="52"/>
      <c r="GC45" s="52"/>
      <c r="GD45" s="52"/>
      <c r="GE45" s="52"/>
      <c r="GF45" s="52"/>
      <c r="GG45" s="52"/>
      <c r="GH45" s="52"/>
      <c r="GI45" s="52"/>
      <c r="GJ45" s="52"/>
      <c r="GK45" s="52"/>
      <c r="GL45" s="52"/>
      <c r="GM45" s="52"/>
      <c r="GN45" s="52"/>
      <c r="GO45" s="52"/>
      <c r="GP45" s="52"/>
      <c r="GQ45" s="52"/>
      <c r="GR45" s="52"/>
      <c r="GS45" s="52"/>
      <c r="GT45" s="52"/>
      <c r="GU45" s="52"/>
      <c r="GV45" s="52"/>
      <c r="GW45" s="52"/>
      <c r="GX45" s="52"/>
      <c r="GY45" s="52"/>
      <c r="GZ45" s="52"/>
      <c r="HA45" s="52"/>
      <c r="HB45" s="52"/>
      <c r="HC45" s="52"/>
      <c r="HD45" s="52"/>
      <c r="HE45" s="52"/>
      <c r="HF45" s="52"/>
      <c r="HG45" s="52"/>
      <c r="HH45" s="52"/>
      <c r="HI45" s="52"/>
      <c r="HJ45" s="52"/>
      <c r="HK45" s="52"/>
      <c r="HL45" s="52"/>
      <c r="HM45" s="52"/>
      <c r="HN45" s="52"/>
      <c r="HO45" s="52"/>
      <c r="HP45" s="52"/>
      <c r="HQ45" s="52"/>
      <c r="HR45" s="52"/>
      <c r="HS45" s="52"/>
      <c r="HT45" s="52"/>
      <c r="HU45" s="52"/>
      <c r="HV45" s="52"/>
      <c r="HW45" s="52"/>
      <c r="HX45" s="52"/>
      <c r="HY45" s="52"/>
      <c r="HZ45" s="52"/>
      <c r="IA45" s="52"/>
      <c r="IB45" s="52"/>
      <c r="IC45" s="52"/>
      <c r="ID45" s="52"/>
      <c r="IE45" s="52"/>
      <c r="IF45" s="52"/>
      <c r="IG45" s="52"/>
      <c r="IH45" s="52"/>
      <c r="II45" s="52"/>
      <c r="IJ45" s="52"/>
      <c r="IK45" s="52"/>
      <c r="IL45" s="52"/>
      <c r="IM45" s="52"/>
      <c r="IN45" s="52"/>
      <c r="IO45" s="52"/>
      <c r="IP45" s="52"/>
      <c r="IQ45" s="52"/>
      <c r="IR45" s="52"/>
      <c r="IS45" s="52"/>
      <c r="IT45" s="52"/>
      <c r="IU45" s="52"/>
      <c r="IV45" s="52"/>
    </row>
    <row r="46" spans="1:256" ht="18" customHeight="1" x14ac:dyDescent="0.25">
      <c r="A46" s="1" t="s">
        <v>130</v>
      </c>
      <c r="B46" s="1"/>
      <c r="C46" s="1"/>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52"/>
      <c r="CK46" s="52"/>
      <c r="CL46" s="52"/>
      <c r="CM46" s="52"/>
      <c r="CN46" s="52"/>
      <c r="CO46" s="52"/>
      <c r="CP46" s="52"/>
      <c r="CQ46" s="52"/>
      <c r="CR46" s="52"/>
      <c r="CS46" s="52"/>
      <c r="CT46" s="52"/>
      <c r="CU46" s="52"/>
      <c r="CV46" s="52"/>
      <c r="CW46" s="52"/>
      <c r="CX46" s="52"/>
      <c r="CY46" s="52"/>
      <c r="CZ46" s="52"/>
      <c r="DA46" s="52"/>
      <c r="DB46" s="52"/>
      <c r="DC46" s="52"/>
      <c r="DD46" s="52"/>
      <c r="DE46" s="52"/>
      <c r="DF46" s="52"/>
      <c r="DG46" s="52"/>
      <c r="DH46" s="52"/>
      <c r="DI46" s="52"/>
      <c r="DJ46" s="52"/>
      <c r="DK46" s="52"/>
      <c r="DL46" s="52"/>
      <c r="DM46" s="52"/>
      <c r="DN46" s="52"/>
      <c r="DO46" s="52"/>
      <c r="DP46" s="52"/>
      <c r="DQ46" s="52"/>
      <c r="DR46" s="52"/>
      <c r="DS46" s="52"/>
      <c r="DT46" s="52"/>
      <c r="DU46" s="52"/>
      <c r="DV46" s="52"/>
      <c r="DW46" s="52"/>
      <c r="DX46" s="52"/>
      <c r="DY46" s="52"/>
      <c r="DZ46" s="52"/>
      <c r="EA46" s="52"/>
      <c r="EB46" s="52"/>
      <c r="EC46" s="52"/>
      <c r="ED46" s="52"/>
      <c r="EE46" s="52"/>
      <c r="EF46" s="52"/>
      <c r="EG46" s="52"/>
      <c r="EH46" s="52"/>
      <c r="EI46" s="52"/>
      <c r="EJ46" s="52"/>
      <c r="EK46" s="52"/>
      <c r="EL46" s="52"/>
      <c r="EM46" s="52"/>
      <c r="EN46" s="52"/>
      <c r="EO46" s="52"/>
      <c r="EP46" s="52"/>
      <c r="EQ46" s="52"/>
      <c r="ER46" s="52"/>
      <c r="ES46" s="52"/>
      <c r="ET46" s="52"/>
      <c r="EU46" s="52"/>
      <c r="EV46" s="52"/>
      <c r="EW46" s="52"/>
      <c r="EX46" s="52"/>
      <c r="EY46" s="52"/>
      <c r="EZ46" s="52"/>
      <c r="FA46" s="52"/>
      <c r="FB46" s="52"/>
      <c r="FC46" s="52"/>
      <c r="FD46" s="52"/>
      <c r="FE46" s="52"/>
      <c r="FF46" s="52"/>
      <c r="FG46" s="52"/>
      <c r="FH46" s="52"/>
      <c r="FI46" s="52"/>
      <c r="FJ46" s="52"/>
      <c r="FK46" s="52"/>
      <c r="FL46" s="52"/>
      <c r="FM46" s="52"/>
      <c r="FN46" s="52"/>
      <c r="FO46" s="52"/>
      <c r="FP46" s="52"/>
      <c r="FQ46" s="52"/>
      <c r="FR46" s="52"/>
      <c r="FS46" s="52"/>
      <c r="FT46" s="52"/>
      <c r="FU46" s="52"/>
      <c r="FV46" s="52"/>
      <c r="FW46" s="52"/>
      <c r="FX46" s="52"/>
      <c r="FY46" s="52"/>
      <c r="FZ46" s="52"/>
      <c r="GA46" s="52"/>
      <c r="GB46" s="52"/>
      <c r="GC46" s="52"/>
      <c r="GD46" s="52"/>
      <c r="GE46" s="52"/>
      <c r="GF46" s="52"/>
      <c r="GG46" s="52"/>
      <c r="GH46" s="52"/>
      <c r="GI46" s="52"/>
      <c r="GJ46" s="52"/>
      <c r="GK46" s="52"/>
      <c r="GL46" s="52"/>
      <c r="GM46" s="52"/>
      <c r="GN46" s="52"/>
      <c r="GO46" s="52"/>
      <c r="GP46" s="52"/>
      <c r="GQ46" s="52"/>
      <c r="GR46" s="52"/>
      <c r="GS46" s="52"/>
      <c r="GT46" s="52"/>
      <c r="GU46" s="52"/>
      <c r="GV46" s="52"/>
      <c r="GW46" s="52"/>
      <c r="GX46" s="52"/>
      <c r="GY46" s="52"/>
      <c r="GZ46" s="52"/>
      <c r="HA46" s="52"/>
      <c r="HB46" s="52"/>
      <c r="HC46" s="52"/>
      <c r="HD46" s="52"/>
      <c r="HE46" s="52"/>
      <c r="HF46" s="52"/>
      <c r="HG46" s="52"/>
      <c r="HH46" s="52"/>
      <c r="HI46" s="52"/>
      <c r="HJ46" s="52"/>
      <c r="HK46" s="52"/>
      <c r="HL46" s="52"/>
      <c r="HM46" s="52"/>
      <c r="HN46" s="52"/>
      <c r="HO46" s="52"/>
      <c r="HP46" s="52"/>
      <c r="HQ46" s="52"/>
      <c r="HR46" s="52"/>
      <c r="HS46" s="52"/>
      <c r="HT46" s="52"/>
      <c r="HU46" s="52"/>
      <c r="HV46" s="52"/>
      <c r="HW46" s="52"/>
      <c r="HX46" s="52"/>
      <c r="HY46" s="52"/>
      <c r="HZ46" s="52"/>
      <c r="IA46" s="52"/>
      <c r="IB46" s="52"/>
      <c r="IC46" s="52"/>
      <c r="ID46" s="52"/>
      <c r="IE46" s="52"/>
      <c r="IF46" s="52"/>
      <c r="IG46" s="52"/>
      <c r="IH46" s="52"/>
      <c r="II46" s="52"/>
      <c r="IJ46" s="52"/>
      <c r="IK46" s="52"/>
      <c r="IL46" s="52"/>
      <c r="IM46" s="52"/>
      <c r="IN46" s="52"/>
      <c r="IO46" s="52"/>
      <c r="IP46" s="52"/>
      <c r="IQ46" s="52"/>
      <c r="IR46" s="52"/>
      <c r="IS46" s="52"/>
      <c r="IT46" s="52"/>
      <c r="IU46" s="52"/>
      <c r="IV46" s="52"/>
    </row>
    <row r="47" spans="1:256" ht="18.75" customHeight="1" x14ac:dyDescent="0.25">
      <c r="A47" s="2" t="s">
        <v>28</v>
      </c>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2"/>
      <c r="BO47" s="52"/>
      <c r="BP47" s="52"/>
      <c r="BQ47" s="52"/>
      <c r="BR47" s="52"/>
      <c r="BS47" s="52"/>
      <c r="BT47" s="52"/>
      <c r="BU47" s="52"/>
      <c r="BV47" s="52"/>
      <c r="BW47" s="52"/>
      <c r="BX47" s="52"/>
      <c r="BY47" s="52"/>
      <c r="BZ47" s="52"/>
      <c r="CA47" s="52"/>
      <c r="CB47" s="52"/>
      <c r="CC47" s="52"/>
      <c r="CD47" s="52"/>
      <c r="CE47" s="52"/>
      <c r="CF47" s="52"/>
      <c r="CG47" s="52"/>
      <c r="CH47" s="52"/>
      <c r="CI47" s="52"/>
      <c r="CJ47" s="52"/>
      <c r="CK47" s="52"/>
      <c r="CL47" s="52"/>
      <c r="CM47" s="52"/>
      <c r="CN47" s="52"/>
      <c r="CO47" s="52"/>
      <c r="CP47" s="52"/>
      <c r="CQ47" s="52"/>
      <c r="CR47" s="52"/>
      <c r="CS47" s="52"/>
      <c r="CT47" s="52"/>
      <c r="CU47" s="52"/>
      <c r="CV47" s="52"/>
      <c r="CW47" s="52"/>
      <c r="CX47" s="52"/>
      <c r="CY47" s="52"/>
      <c r="CZ47" s="52"/>
      <c r="DA47" s="52"/>
      <c r="DB47" s="52"/>
      <c r="DC47" s="52"/>
      <c r="DD47" s="52"/>
      <c r="DE47" s="52"/>
      <c r="DF47" s="52"/>
      <c r="DG47" s="52"/>
      <c r="DH47" s="52"/>
      <c r="DI47" s="52"/>
      <c r="DJ47" s="52"/>
      <c r="DK47" s="52"/>
      <c r="DL47" s="52"/>
      <c r="DM47" s="52"/>
      <c r="DN47" s="52"/>
      <c r="DO47" s="52"/>
      <c r="DP47" s="52"/>
      <c r="DQ47" s="52"/>
      <c r="DR47" s="52"/>
      <c r="DS47" s="52"/>
      <c r="DT47" s="52"/>
      <c r="DU47" s="52"/>
      <c r="DV47" s="52"/>
      <c r="DW47" s="52"/>
      <c r="DX47" s="52"/>
      <c r="DY47" s="52"/>
      <c r="DZ47" s="52"/>
      <c r="EA47" s="52"/>
      <c r="EB47" s="52"/>
      <c r="EC47" s="52"/>
      <c r="ED47" s="52"/>
      <c r="EE47" s="52"/>
      <c r="EF47" s="52"/>
      <c r="EG47" s="52"/>
      <c r="EH47" s="52"/>
      <c r="EI47" s="52"/>
      <c r="EJ47" s="52"/>
      <c r="EK47" s="52"/>
      <c r="EL47" s="52"/>
      <c r="EM47" s="52"/>
      <c r="EN47" s="52"/>
      <c r="EO47" s="52"/>
      <c r="EP47" s="52"/>
      <c r="EQ47" s="52"/>
      <c r="ER47" s="52"/>
      <c r="ES47" s="52"/>
      <c r="ET47" s="52"/>
      <c r="EU47" s="52"/>
      <c r="EV47" s="52"/>
      <c r="EW47" s="52"/>
      <c r="EX47" s="52"/>
      <c r="EY47" s="52"/>
      <c r="EZ47" s="52"/>
      <c r="FA47" s="52"/>
      <c r="FB47" s="52"/>
      <c r="FC47" s="52"/>
      <c r="FD47" s="52"/>
      <c r="FE47" s="52"/>
      <c r="FF47" s="52"/>
      <c r="FG47" s="52"/>
      <c r="FH47" s="52"/>
      <c r="FI47" s="52"/>
      <c r="FJ47" s="52"/>
      <c r="FK47" s="52"/>
      <c r="FL47" s="52"/>
      <c r="FM47" s="52"/>
      <c r="FN47" s="52"/>
      <c r="FO47" s="52"/>
      <c r="FP47" s="52"/>
      <c r="FQ47" s="52"/>
      <c r="FR47" s="52"/>
      <c r="FS47" s="52"/>
      <c r="FT47" s="52"/>
      <c r="FU47" s="52"/>
      <c r="FV47" s="52"/>
      <c r="FW47" s="52"/>
      <c r="FX47" s="52"/>
      <c r="FY47" s="52"/>
      <c r="FZ47" s="52"/>
      <c r="GA47" s="52"/>
      <c r="GB47" s="52"/>
      <c r="GC47" s="52"/>
      <c r="GD47" s="52"/>
      <c r="GE47" s="52"/>
      <c r="GF47" s="52"/>
      <c r="GG47" s="52"/>
      <c r="GH47" s="52"/>
      <c r="GI47" s="52"/>
      <c r="GJ47" s="52"/>
      <c r="GK47" s="52"/>
      <c r="GL47" s="52"/>
      <c r="GM47" s="52"/>
      <c r="GN47" s="52"/>
      <c r="GO47" s="52"/>
      <c r="GP47" s="52"/>
      <c r="GQ47" s="52"/>
      <c r="GR47" s="52"/>
      <c r="GS47" s="52"/>
      <c r="GT47" s="52"/>
      <c r="GU47" s="52"/>
      <c r="GV47" s="52"/>
      <c r="GW47" s="52"/>
      <c r="GX47" s="52"/>
      <c r="GY47" s="52"/>
      <c r="GZ47" s="52"/>
      <c r="HA47" s="52"/>
      <c r="HB47" s="52"/>
      <c r="HC47" s="52"/>
      <c r="HD47" s="52"/>
      <c r="HE47" s="52"/>
      <c r="HF47" s="52"/>
      <c r="HG47" s="52"/>
      <c r="HH47" s="52"/>
      <c r="HI47" s="52"/>
      <c r="HJ47" s="52"/>
      <c r="HK47" s="52"/>
      <c r="HL47" s="52"/>
      <c r="HM47" s="52"/>
      <c r="HN47" s="52"/>
      <c r="HO47" s="52"/>
      <c r="HP47" s="52"/>
      <c r="HQ47" s="52"/>
      <c r="HR47" s="52"/>
      <c r="HS47" s="52"/>
      <c r="HT47" s="52"/>
      <c r="HU47" s="52"/>
      <c r="HV47" s="52"/>
      <c r="HW47" s="52"/>
      <c r="HX47" s="52"/>
      <c r="HY47" s="52"/>
      <c r="HZ47" s="52"/>
      <c r="IA47" s="52"/>
      <c r="IB47" s="52"/>
      <c r="IC47" s="52"/>
      <c r="ID47" s="52"/>
      <c r="IE47" s="52"/>
      <c r="IF47" s="52"/>
      <c r="IG47" s="52"/>
      <c r="IH47" s="52"/>
      <c r="II47" s="52"/>
      <c r="IJ47" s="52"/>
      <c r="IK47" s="52"/>
      <c r="IL47" s="52"/>
      <c r="IM47" s="52"/>
      <c r="IN47" s="52"/>
      <c r="IO47" s="52"/>
      <c r="IP47" s="52"/>
      <c r="IQ47" s="52"/>
      <c r="IR47" s="52"/>
      <c r="IS47" s="52"/>
      <c r="IT47" s="52"/>
      <c r="IU47" s="52"/>
      <c r="IV47" s="52"/>
    </row>
    <row r="48" spans="1:256" ht="17.25" customHeight="1" x14ac:dyDescent="0.25">
      <c r="A48" s="52" t="s">
        <v>29</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c r="BR48" s="52"/>
      <c r="BS48" s="52"/>
      <c r="BT48" s="52"/>
      <c r="BU48" s="52"/>
      <c r="BV48" s="52"/>
      <c r="BW48" s="52"/>
      <c r="BX48" s="52"/>
      <c r="BY48" s="52"/>
      <c r="BZ48" s="52"/>
      <c r="CA48" s="52"/>
      <c r="CB48" s="52"/>
      <c r="CC48" s="52"/>
      <c r="CD48" s="52"/>
      <c r="CE48" s="52"/>
      <c r="CF48" s="52"/>
      <c r="CG48" s="52"/>
      <c r="CH48" s="52"/>
      <c r="CI48" s="52"/>
      <c r="CJ48" s="52"/>
      <c r="CK48" s="52"/>
      <c r="CL48" s="52"/>
      <c r="CM48" s="52"/>
      <c r="CN48" s="52"/>
      <c r="CO48" s="52"/>
      <c r="CP48" s="52"/>
      <c r="CQ48" s="52"/>
      <c r="CR48" s="52"/>
      <c r="CS48" s="52"/>
      <c r="CT48" s="52"/>
      <c r="CU48" s="52"/>
      <c r="CV48" s="52"/>
      <c r="CW48" s="52"/>
      <c r="CX48" s="52"/>
      <c r="CY48" s="52"/>
      <c r="CZ48" s="52"/>
      <c r="DA48" s="52"/>
      <c r="DB48" s="52"/>
      <c r="DC48" s="52"/>
      <c r="DD48" s="52"/>
      <c r="DE48" s="52"/>
      <c r="DF48" s="52"/>
      <c r="DG48" s="52"/>
      <c r="DH48" s="52"/>
      <c r="DI48" s="52"/>
      <c r="DJ48" s="52"/>
      <c r="DK48" s="52"/>
      <c r="DL48" s="52"/>
      <c r="DM48" s="52"/>
      <c r="DN48" s="52"/>
      <c r="DO48" s="52"/>
      <c r="DP48" s="52"/>
      <c r="DQ48" s="52"/>
      <c r="DR48" s="52"/>
      <c r="DS48" s="52"/>
      <c r="DT48" s="52"/>
      <c r="DU48" s="52"/>
      <c r="DV48" s="52"/>
      <c r="DW48" s="52"/>
      <c r="DX48" s="52"/>
      <c r="DY48" s="52"/>
      <c r="DZ48" s="52"/>
      <c r="EA48" s="52"/>
      <c r="EB48" s="52"/>
      <c r="EC48" s="52"/>
      <c r="ED48" s="52"/>
      <c r="EE48" s="52"/>
      <c r="EF48" s="52"/>
      <c r="EG48" s="52"/>
      <c r="EH48" s="52"/>
      <c r="EI48" s="52"/>
      <c r="EJ48" s="52"/>
      <c r="EK48" s="52"/>
      <c r="EL48" s="52"/>
      <c r="EM48" s="52"/>
      <c r="EN48" s="52"/>
      <c r="EO48" s="52"/>
      <c r="EP48" s="52"/>
      <c r="EQ48" s="52"/>
      <c r="ER48" s="52"/>
      <c r="ES48" s="52"/>
      <c r="ET48" s="52"/>
      <c r="EU48" s="52"/>
      <c r="EV48" s="52"/>
      <c r="EW48" s="52"/>
      <c r="EX48" s="52"/>
      <c r="EY48" s="52"/>
      <c r="EZ48" s="52"/>
      <c r="FA48" s="52"/>
      <c r="FB48" s="52"/>
      <c r="FC48" s="52"/>
      <c r="FD48" s="52"/>
      <c r="FE48" s="52"/>
      <c r="FF48" s="52"/>
      <c r="FG48" s="52"/>
      <c r="FH48" s="52"/>
      <c r="FI48" s="52"/>
      <c r="FJ48" s="52"/>
      <c r="FK48" s="52"/>
      <c r="FL48" s="52"/>
      <c r="FM48" s="52"/>
      <c r="FN48" s="52"/>
      <c r="FO48" s="52"/>
      <c r="FP48" s="52"/>
      <c r="FQ48" s="52"/>
      <c r="FR48" s="52"/>
      <c r="FS48" s="52"/>
      <c r="FT48" s="52"/>
      <c r="FU48" s="52"/>
      <c r="FV48" s="52"/>
      <c r="FW48" s="52"/>
      <c r="FX48" s="52"/>
      <c r="FY48" s="52"/>
      <c r="FZ48" s="52"/>
      <c r="GA48" s="52"/>
      <c r="GB48" s="52"/>
      <c r="GC48" s="52"/>
      <c r="GD48" s="52"/>
      <c r="GE48" s="52"/>
      <c r="GF48" s="52"/>
      <c r="GG48" s="52"/>
      <c r="GH48" s="52"/>
      <c r="GI48" s="52"/>
      <c r="GJ48" s="52"/>
      <c r="GK48" s="52"/>
      <c r="GL48" s="52"/>
      <c r="GM48" s="52"/>
      <c r="GN48" s="52"/>
      <c r="GO48" s="52"/>
      <c r="GP48" s="52"/>
      <c r="GQ48" s="52"/>
      <c r="GR48" s="52"/>
      <c r="GS48" s="52"/>
      <c r="GT48" s="52"/>
      <c r="GU48" s="52"/>
      <c r="GV48" s="52"/>
      <c r="GW48" s="52"/>
      <c r="GX48" s="52"/>
      <c r="GY48" s="52"/>
      <c r="GZ48" s="52"/>
      <c r="HA48" s="52"/>
      <c r="HB48" s="52"/>
      <c r="HC48" s="52"/>
      <c r="HD48" s="52"/>
      <c r="HE48" s="52"/>
      <c r="HF48" s="52"/>
      <c r="HG48" s="52"/>
      <c r="HH48" s="52"/>
      <c r="HI48" s="52"/>
      <c r="HJ48" s="52"/>
      <c r="HK48" s="52"/>
      <c r="HL48" s="52"/>
      <c r="HM48" s="52"/>
      <c r="HN48" s="52"/>
      <c r="HO48" s="52"/>
      <c r="HP48" s="52"/>
      <c r="HQ48" s="52"/>
      <c r="HR48" s="52"/>
      <c r="HS48" s="52"/>
      <c r="HT48" s="52"/>
      <c r="HU48" s="52"/>
      <c r="HV48" s="52"/>
      <c r="HW48" s="52"/>
      <c r="HX48" s="52"/>
      <c r="HY48" s="52"/>
      <c r="HZ48" s="52"/>
      <c r="IA48" s="52"/>
      <c r="IB48" s="52"/>
      <c r="IC48" s="52"/>
      <c r="ID48" s="52"/>
      <c r="IE48" s="52"/>
      <c r="IF48" s="52"/>
      <c r="IG48" s="52"/>
      <c r="IH48" s="52"/>
      <c r="II48" s="52"/>
      <c r="IJ48" s="52"/>
      <c r="IK48" s="52"/>
      <c r="IL48" s="52"/>
      <c r="IM48" s="52"/>
      <c r="IN48" s="52"/>
      <c r="IO48" s="52"/>
      <c r="IP48" s="52"/>
      <c r="IQ48" s="52"/>
      <c r="IR48" s="52"/>
      <c r="IS48" s="52"/>
      <c r="IT48" s="52"/>
      <c r="IU48" s="52"/>
      <c r="IV48" s="52"/>
    </row>
  </sheetData>
  <mergeCells count="60">
    <mergeCell ref="D30:G30"/>
    <mergeCell ref="D31:G31"/>
    <mergeCell ref="B29:C29"/>
    <mergeCell ref="B28:C28"/>
    <mergeCell ref="B27:C27"/>
    <mergeCell ref="D28:G28"/>
    <mergeCell ref="D29:G29"/>
    <mergeCell ref="B26:C26"/>
    <mergeCell ref="B25:C25"/>
    <mergeCell ref="D25:G25"/>
    <mergeCell ref="D26:G26"/>
    <mergeCell ref="D27:G27"/>
    <mergeCell ref="B41:C41"/>
    <mergeCell ref="D41:G41"/>
    <mergeCell ref="B42:C42"/>
    <mergeCell ref="D42:G42"/>
    <mergeCell ref="B17:C17"/>
    <mergeCell ref="D17:G17"/>
    <mergeCell ref="B32:C32"/>
    <mergeCell ref="D32:G32"/>
    <mergeCell ref="B31:C31"/>
    <mergeCell ref="B30:C30"/>
    <mergeCell ref="B39:C39"/>
    <mergeCell ref="D39:G39"/>
    <mergeCell ref="B40:C40"/>
    <mergeCell ref="D40:G40"/>
    <mergeCell ref="B36:C36"/>
    <mergeCell ref="D36:G36"/>
    <mergeCell ref="B37:C37"/>
    <mergeCell ref="D37:G37"/>
    <mergeCell ref="B38:C38"/>
    <mergeCell ref="D38:G38"/>
    <mergeCell ref="B33:C33"/>
    <mergeCell ref="D33:G33"/>
    <mergeCell ref="B34:C34"/>
    <mergeCell ref="D34:G34"/>
    <mergeCell ref="B35:C35"/>
    <mergeCell ref="D35:G35"/>
    <mergeCell ref="B23:C23"/>
    <mergeCell ref="D23:G23"/>
    <mergeCell ref="B24:C24"/>
    <mergeCell ref="D24:G24"/>
    <mergeCell ref="B20:C20"/>
    <mergeCell ref="D20:G20"/>
    <mergeCell ref="B21:C21"/>
    <mergeCell ref="D21:G21"/>
    <mergeCell ref="B22:C22"/>
    <mergeCell ref="D22:G22"/>
    <mergeCell ref="B16:C16"/>
    <mergeCell ref="D16:G16"/>
    <mergeCell ref="B18:C18"/>
    <mergeCell ref="D18:G18"/>
    <mergeCell ref="B19:C19"/>
    <mergeCell ref="D19:G19"/>
    <mergeCell ref="C1:I1"/>
    <mergeCell ref="A10:I10"/>
    <mergeCell ref="A11:I11"/>
    <mergeCell ref="A13:I13"/>
    <mergeCell ref="B15:C15"/>
    <mergeCell ref="D15:G15"/>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zoomScaleNormal="100" workbookViewId="0">
      <selection activeCell="J14" sqref="J14"/>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27" t="s">
        <v>181</v>
      </c>
      <c r="D1" s="127"/>
      <c r="E1" s="127"/>
      <c r="F1" s="127"/>
      <c r="G1" s="127"/>
      <c r="H1" s="127"/>
      <c r="I1" s="127"/>
    </row>
    <row r="2" spans="1:256" x14ac:dyDescent="0.2">
      <c r="F2" s="51"/>
      <c r="G2" s="51"/>
      <c r="H2" s="51"/>
      <c r="I2" s="51"/>
    </row>
    <row r="3" spans="1:256" s="52" customFormat="1" ht="15.75" x14ac:dyDescent="0.25">
      <c r="A3" s="50"/>
      <c r="B3" s="50"/>
      <c r="C3" s="50"/>
      <c r="D3" s="50"/>
      <c r="E3" s="50"/>
      <c r="F3" s="51"/>
      <c r="G3" s="51"/>
      <c r="H3" s="51"/>
      <c r="I3" s="51"/>
    </row>
    <row r="4" spans="1:256" s="52" customFormat="1" ht="15.75" x14ac:dyDescent="0.25">
      <c r="A4" s="92" t="s">
        <v>234</v>
      </c>
      <c r="B4" s="93"/>
      <c r="C4" s="94"/>
      <c r="G4" s="92" t="s">
        <v>235</v>
      </c>
      <c r="H4"/>
    </row>
    <row r="5" spans="1:256" s="52" customFormat="1" ht="15.75" x14ac:dyDescent="0.25">
      <c r="A5" s="95" t="s">
        <v>236</v>
      </c>
      <c r="B5" s="96"/>
      <c r="C5" s="94"/>
      <c r="G5" s="95" t="s">
        <v>237</v>
      </c>
      <c r="H5"/>
    </row>
    <row r="6" spans="1:256" s="52" customFormat="1" ht="15.75" x14ac:dyDescent="0.25">
      <c r="A6" s="97" t="s">
        <v>4</v>
      </c>
      <c r="B6" s="98"/>
      <c r="C6" s="20"/>
      <c r="G6" s="97" t="s">
        <v>238</v>
      </c>
      <c r="H6" s="99"/>
    </row>
    <row r="7" spans="1:256" s="52" customFormat="1" ht="15.75" x14ac:dyDescent="0.25">
      <c r="A7" s="97" t="s">
        <v>239</v>
      </c>
      <c r="B7" s="98"/>
      <c r="C7" s="100"/>
      <c r="G7" s="97" t="s">
        <v>5</v>
      </c>
      <c r="H7" s="101"/>
    </row>
    <row r="8" spans="1:256" s="52" customFormat="1" ht="15.75" x14ac:dyDescent="0.25">
      <c r="A8"/>
      <c r="B8" s="102"/>
      <c r="C8"/>
      <c r="G8" s="97"/>
      <c r="H8" s="99"/>
    </row>
    <row r="9" spans="1:256" s="52" customFormat="1" ht="15.75" x14ac:dyDescent="0.25">
      <c r="A9" s="97" t="s">
        <v>240</v>
      </c>
      <c r="B9" s="98"/>
      <c r="C9" s="1"/>
      <c r="G9" s="97" t="s">
        <v>241</v>
      </c>
      <c r="H9" s="99"/>
    </row>
    <row r="10" spans="1:256" s="52" customFormat="1" ht="33.75" customHeight="1" x14ac:dyDescent="0.25">
      <c r="A10" s="97" t="s">
        <v>242</v>
      </c>
      <c r="B10" s="98"/>
      <c r="C10" s="1"/>
      <c r="G10" s="97" t="s">
        <v>242</v>
      </c>
      <c r="H10" s="98"/>
      <c r="I10" s="54"/>
    </row>
    <row r="11" spans="1:256" ht="13.5" customHeight="1" x14ac:dyDescent="0.2">
      <c r="A11" s="128" t="s">
        <v>187</v>
      </c>
      <c r="B11" s="128"/>
      <c r="C11" s="128"/>
      <c r="D11" s="128"/>
      <c r="E11" s="128"/>
      <c r="F11" s="128"/>
      <c r="G11" s="128"/>
      <c r="H11" s="128"/>
      <c r="I11" s="128"/>
    </row>
    <row r="12" spans="1:256" ht="15.75" customHeight="1" x14ac:dyDescent="0.2">
      <c r="A12" s="129" t="s">
        <v>159</v>
      </c>
      <c r="B12" s="130"/>
      <c r="C12" s="130"/>
      <c r="D12" s="130"/>
      <c r="E12" s="130"/>
      <c r="F12" s="130"/>
      <c r="G12" s="130"/>
      <c r="H12" s="130"/>
      <c r="I12" s="130"/>
    </row>
    <row r="13" spans="1:256" x14ac:dyDescent="0.2">
      <c r="A13" s="55"/>
      <c r="B13" s="56"/>
      <c r="C13" s="57"/>
      <c r="D13" s="57"/>
      <c r="E13" s="57"/>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c r="II13" s="56"/>
      <c r="IJ13" s="56"/>
      <c r="IK13" s="56"/>
      <c r="IL13" s="56"/>
      <c r="IM13" s="56"/>
      <c r="IN13" s="56"/>
      <c r="IO13" s="56"/>
      <c r="IP13" s="56"/>
      <c r="IQ13" s="56"/>
      <c r="IR13" s="56"/>
      <c r="IS13" s="56"/>
      <c r="IT13" s="56"/>
      <c r="IU13" s="56"/>
      <c r="IV13" s="56"/>
    </row>
    <row r="14" spans="1:256" ht="60" customHeight="1" x14ac:dyDescent="0.25">
      <c r="A14" s="131" t="s">
        <v>233</v>
      </c>
      <c r="B14" s="131"/>
      <c r="C14" s="131"/>
      <c r="D14" s="131"/>
      <c r="E14" s="131"/>
      <c r="F14" s="131"/>
      <c r="G14" s="131"/>
      <c r="H14" s="131"/>
      <c r="I14" s="131"/>
      <c r="J14" s="58"/>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9.75" customHeight="1" x14ac:dyDescent="0.25">
      <c r="A15" s="59"/>
      <c r="B15" s="59"/>
      <c r="C15" s="59"/>
      <c r="D15" s="59"/>
      <c r="E15" s="59"/>
      <c r="F15" s="59"/>
      <c r="G15" s="59"/>
      <c r="H15" s="59"/>
      <c r="I15" s="59"/>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
      <c r="A16" s="60" t="s">
        <v>188</v>
      </c>
      <c r="B16" s="132" t="s">
        <v>189</v>
      </c>
      <c r="C16" s="133"/>
      <c r="D16" s="132" t="s">
        <v>88</v>
      </c>
      <c r="E16" s="134"/>
      <c r="F16" s="134"/>
      <c r="G16" s="133"/>
      <c r="H16" s="61" t="s">
        <v>87</v>
      </c>
      <c r="I16" s="60" t="s">
        <v>190</v>
      </c>
    </row>
    <row r="17" spans="1:9" ht="12.75" customHeight="1" x14ac:dyDescent="0.2">
      <c r="A17" s="88" t="s">
        <v>191</v>
      </c>
      <c r="B17" s="135">
        <v>2</v>
      </c>
      <c r="C17" s="136"/>
      <c r="D17" s="135">
        <v>3</v>
      </c>
      <c r="E17" s="137"/>
      <c r="F17" s="137"/>
      <c r="G17" s="136"/>
      <c r="H17" s="62">
        <v>4</v>
      </c>
      <c r="I17" s="90">
        <v>5</v>
      </c>
    </row>
    <row r="18" spans="1:9" ht="94.5" customHeight="1" x14ac:dyDescent="0.2">
      <c r="A18" s="89" t="s">
        <v>191</v>
      </c>
      <c r="B18" s="161" t="s">
        <v>225</v>
      </c>
      <c r="C18" s="161"/>
      <c r="D18" s="162" t="s">
        <v>226</v>
      </c>
      <c r="E18" s="162"/>
      <c r="F18" s="162"/>
      <c r="G18" s="162"/>
      <c r="H18" s="85" t="s">
        <v>227</v>
      </c>
      <c r="I18" s="86">
        <f>3564.36*2.4*1.2*0.805*3.83</f>
        <v>31649.634817920003</v>
      </c>
    </row>
    <row r="19" spans="1:9" ht="103.5" customHeight="1" x14ac:dyDescent="0.2">
      <c r="A19" s="75" t="s">
        <v>200</v>
      </c>
      <c r="B19" s="163" t="s">
        <v>220</v>
      </c>
      <c r="C19" s="164"/>
      <c r="D19" s="173" t="s">
        <v>221</v>
      </c>
      <c r="E19" s="174"/>
      <c r="F19" s="174"/>
      <c r="G19" s="175"/>
      <c r="H19" s="64" t="s">
        <v>224</v>
      </c>
      <c r="I19" s="65">
        <f>(11960+0*13)*0.4*1.4*1.1*0.555*3.83</f>
        <v>15660.428784000002</v>
      </c>
    </row>
    <row r="20" spans="1:9" ht="18" customHeight="1" x14ac:dyDescent="0.2">
      <c r="A20" s="75"/>
      <c r="B20" s="143" t="s">
        <v>63</v>
      </c>
      <c r="C20" s="144"/>
      <c r="D20" s="176"/>
      <c r="E20" s="177"/>
      <c r="F20" s="177"/>
      <c r="G20" s="178"/>
      <c r="H20" s="76"/>
      <c r="I20" s="87"/>
    </row>
    <row r="21" spans="1:9" ht="28.5" customHeight="1" x14ac:dyDescent="0.2">
      <c r="A21" s="75"/>
      <c r="B21" s="158" t="s">
        <v>194</v>
      </c>
      <c r="C21" s="159"/>
      <c r="D21" s="158" t="s">
        <v>222</v>
      </c>
      <c r="E21" s="160"/>
      <c r="F21" s="160"/>
      <c r="G21" s="159"/>
      <c r="H21" s="76"/>
      <c r="I21" s="87"/>
    </row>
    <row r="22" spans="1:9" ht="39.75" customHeight="1" x14ac:dyDescent="0.2">
      <c r="A22" s="75"/>
      <c r="B22" s="168"/>
      <c r="C22" s="169"/>
      <c r="D22" s="158" t="s">
        <v>196</v>
      </c>
      <c r="E22" s="160"/>
      <c r="F22" s="160"/>
      <c r="G22" s="159"/>
      <c r="H22" s="76"/>
      <c r="I22" s="87"/>
    </row>
    <row r="23" spans="1:9" ht="27.75" customHeight="1" x14ac:dyDescent="0.2">
      <c r="A23" s="75"/>
      <c r="B23" s="168"/>
      <c r="C23" s="169"/>
      <c r="D23" s="158" t="s">
        <v>197</v>
      </c>
      <c r="E23" s="160"/>
      <c r="F23" s="160"/>
      <c r="G23" s="159"/>
      <c r="H23" s="76"/>
      <c r="I23" s="87"/>
    </row>
    <row r="24" spans="1:9" ht="25.5" customHeight="1" x14ac:dyDescent="0.2">
      <c r="A24" s="75"/>
      <c r="B24" s="168"/>
      <c r="C24" s="169"/>
      <c r="D24" s="146" t="s">
        <v>198</v>
      </c>
      <c r="E24" s="148"/>
      <c r="F24" s="148"/>
      <c r="G24" s="147"/>
      <c r="H24" s="76"/>
      <c r="I24" s="87"/>
    </row>
    <row r="25" spans="1:9" ht="54.75" customHeight="1" x14ac:dyDescent="0.2">
      <c r="A25" s="75"/>
      <c r="B25" s="149" t="s">
        <v>69</v>
      </c>
      <c r="C25" s="150"/>
      <c r="D25" s="149"/>
      <c r="E25" s="151"/>
      <c r="F25" s="151"/>
      <c r="G25" s="150"/>
      <c r="H25" s="73" t="s">
        <v>223</v>
      </c>
      <c r="I25" s="87"/>
    </row>
    <row r="26" spans="1:9" ht="106.5" customHeight="1" x14ac:dyDescent="0.2">
      <c r="A26" s="75" t="s">
        <v>201</v>
      </c>
      <c r="B26" s="163" t="s">
        <v>71</v>
      </c>
      <c r="C26" s="164"/>
      <c r="D26" s="165" t="s">
        <v>72</v>
      </c>
      <c r="E26" s="166"/>
      <c r="F26" s="166"/>
      <c r="G26" s="167"/>
      <c r="H26" s="76" t="s">
        <v>228</v>
      </c>
      <c r="I26" s="77">
        <f>(0+800*1)*1*0.5*3.83</f>
        <v>1532</v>
      </c>
    </row>
    <row r="27" spans="1:9" ht="15.75" customHeight="1" x14ac:dyDescent="0.2">
      <c r="A27" s="66" t="s">
        <v>193</v>
      </c>
      <c r="B27" s="143" t="s">
        <v>63</v>
      </c>
      <c r="C27" s="144"/>
      <c r="D27" s="143"/>
      <c r="E27" s="145"/>
      <c r="F27" s="145"/>
      <c r="G27" s="144"/>
      <c r="H27" s="67"/>
      <c r="I27" s="68"/>
    </row>
    <row r="28" spans="1:9" ht="12.75" customHeight="1" x14ac:dyDescent="0.2">
      <c r="A28" s="69" t="s">
        <v>193</v>
      </c>
      <c r="B28" s="158" t="s">
        <v>64</v>
      </c>
      <c r="C28" s="159"/>
      <c r="D28" s="158" t="s">
        <v>74</v>
      </c>
      <c r="E28" s="160"/>
      <c r="F28" s="160"/>
      <c r="G28" s="159"/>
      <c r="H28" s="70"/>
      <c r="I28" s="71"/>
    </row>
    <row r="29" spans="1:9" ht="38.25" customHeight="1" x14ac:dyDescent="0.2">
      <c r="A29" s="69" t="s">
        <v>193</v>
      </c>
      <c r="B29" s="158"/>
      <c r="C29" s="159"/>
      <c r="D29" s="158" t="s">
        <v>196</v>
      </c>
      <c r="E29" s="160"/>
      <c r="F29" s="160"/>
      <c r="G29" s="159"/>
      <c r="H29" s="70"/>
      <c r="I29" s="71"/>
    </row>
    <row r="30" spans="1:9" ht="22.5" customHeight="1" x14ac:dyDescent="0.2">
      <c r="A30" s="72" t="s">
        <v>193</v>
      </c>
      <c r="B30" s="170" t="s">
        <v>69</v>
      </c>
      <c r="C30" s="171"/>
      <c r="D30" s="170"/>
      <c r="E30" s="172"/>
      <c r="F30" s="172"/>
      <c r="G30" s="171"/>
      <c r="H30" s="73" t="s">
        <v>75</v>
      </c>
      <c r="I30" s="74"/>
    </row>
    <row r="31" spans="1:9" ht="12.75" customHeight="1" x14ac:dyDescent="0.2">
      <c r="A31" s="72" t="s">
        <v>202</v>
      </c>
      <c r="B31" s="152" t="s">
        <v>76</v>
      </c>
      <c r="C31" s="153"/>
      <c r="D31" s="152"/>
      <c r="E31" s="154"/>
      <c r="F31" s="154"/>
      <c r="G31" s="153"/>
      <c r="H31" s="78"/>
      <c r="I31" s="79">
        <f>I18+I19+I26</f>
        <v>48842.063601920003</v>
      </c>
    </row>
    <row r="32" spans="1:9" ht="12.75" customHeight="1" x14ac:dyDescent="0.2">
      <c r="A32" s="80" t="s">
        <v>203</v>
      </c>
      <c r="B32" s="155" t="s">
        <v>77</v>
      </c>
      <c r="C32" s="156"/>
      <c r="D32" s="155"/>
      <c r="E32" s="157"/>
      <c r="F32" s="157"/>
      <c r="G32" s="156"/>
      <c r="H32" s="81" t="s">
        <v>217</v>
      </c>
      <c r="I32" s="82">
        <f>I31*0.1</f>
        <v>4884.2063601920008</v>
      </c>
    </row>
    <row r="33" spans="1:256" ht="39.75" customHeight="1" x14ac:dyDescent="0.2">
      <c r="A33" s="80" t="s">
        <v>204</v>
      </c>
      <c r="B33" s="155" t="s">
        <v>23</v>
      </c>
      <c r="C33" s="156"/>
      <c r="D33" s="155"/>
      <c r="E33" s="157"/>
      <c r="F33" s="157"/>
      <c r="G33" s="156"/>
      <c r="H33" s="81" t="s">
        <v>79</v>
      </c>
      <c r="I33" s="82">
        <v>22501.54</v>
      </c>
    </row>
    <row r="34" spans="1:256" ht="25.5" customHeight="1" x14ac:dyDescent="0.2">
      <c r="A34" s="80" t="s">
        <v>205</v>
      </c>
      <c r="B34" s="155" t="s">
        <v>80</v>
      </c>
      <c r="C34" s="156"/>
      <c r="D34" s="155"/>
      <c r="E34" s="157"/>
      <c r="F34" s="157"/>
      <c r="G34" s="156"/>
      <c r="H34" s="81" t="s">
        <v>79</v>
      </c>
      <c r="I34" s="82">
        <v>7909.65</v>
      </c>
    </row>
    <row r="35" spans="1:256" ht="12.75" customHeight="1" x14ac:dyDescent="0.2">
      <c r="A35" s="80" t="s">
        <v>206</v>
      </c>
      <c r="B35" s="155" t="s">
        <v>81</v>
      </c>
      <c r="C35" s="156"/>
      <c r="D35" s="155"/>
      <c r="E35" s="157"/>
      <c r="F35" s="157"/>
      <c r="G35" s="156"/>
      <c r="H35" s="81" t="s">
        <v>230</v>
      </c>
      <c r="I35" s="82">
        <f>I31+I32+I33+I34</f>
        <v>84137.459962112</v>
      </c>
    </row>
    <row r="36" spans="1:256" ht="12.75" customHeight="1" x14ac:dyDescent="0.2">
      <c r="A36" s="80" t="s">
        <v>208</v>
      </c>
      <c r="B36" s="155" t="s">
        <v>207</v>
      </c>
      <c r="C36" s="156"/>
      <c r="D36" s="155"/>
      <c r="E36" s="157"/>
      <c r="F36" s="157"/>
      <c r="G36" s="156"/>
      <c r="H36" s="81" t="s">
        <v>231</v>
      </c>
      <c r="I36" s="82">
        <f>ROUND(I35*18%,2)</f>
        <v>15144.74</v>
      </c>
    </row>
    <row r="37" spans="1:256" ht="12.75" customHeight="1" x14ac:dyDescent="0.2">
      <c r="A37" s="80" t="s">
        <v>229</v>
      </c>
      <c r="B37" s="152" t="s">
        <v>85</v>
      </c>
      <c r="C37" s="153"/>
      <c r="D37" s="152"/>
      <c r="E37" s="154"/>
      <c r="F37" s="154"/>
      <c r="G37" s="153"/>
      <c r="H37" s="83" t="s">
        <v>232</v>
      </c>
      <c r="I37" s="84">
        <f>I35+I36</f>
        <v>99282.199962112005</v>
      </c>
    </row>
    <row r="39" spans="1:256" ht="12.75" customHeight="1" x14ac:dyDescent="0.25">
      <c r="A39" s="52" t="s">
        <v>209</v>
      </c>
      <c r="B39" s="52"/>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c r="EF39" s="52"/>
      <c r="EG39" s="52"/>
      <c r="EH39" s="52"/>
      <c r="EI39" s="52"/>
      <c r="EJ39" s="52"/>
      <c r="EK39" s="52"/>
      <c r="EL39" s="52"/>
      <c r="EM39" s="52"/>
      <c r="EN39" s="52"/>
      <c r="EO39" s="52"/>
      <c r="EP39" s="52"/>
      <c r="EQ39" s="52"/>
      <c r="ER39" s="52"/>
      <c r="ES39" s="52"/>
      <c r="ET39" s="52"/>
      <c r="EU39" s="52"/>
      <c r="EV39" s="52"/>
      <c r="EW39" s="52"/>
      <c r="EX39" s="52"/>
      <c r="EY39" s="52"/>
      <c r="EZ39" s="52"/>
      <c r="FA39" s="52"/>
      <c r="FB39" s="52"/>
      <c r="FC39" s="52"/>
      <c r="FD39" s="52"/>
      <c r="FE39" s="52"/>
      <c r="FF39" s="52"/>
      <c r="FG39" s="52"/>
      <c r="FH39" s="52"/>
      <c r="FI39" s="52"/>
      <c r="FJ39" s="52"/>
      <c r="FK39" s="52"/>
      <c r="FL39" s="52"/>
      <c r="FM39" s="52"/>
      <c r="FN39" s="52"/>
      <c r="FO39" s="52"/>
      <c r="FP39" s="52"/>
      <c r="FQ39" s="52"/>
      <c r="FR39" s="52"/>
      <c r="FS39" s="52"/>
      <c r="FT39" s="52"/>
      <c r="FU39" s="52"/>
      <c r="FV39" s="52"/>
      <c r="FW39" s="52"/>
      <c r="FX39" s="52"/>
      <c r="FY39" s="52"/>
      <c r="FZ39" s="52"/>
      <c r="GA39" s="52"/>
      <c r="GB39" s="52"/>
      <c r="GC39" s="52"/>
      <c r="GD39" s="52"/>
      <c r="GE39" s="52"/>
      <c r="GF39" s="52"/>
      <c r="GG39" s="52"/>
      <c r="GH39" s="52"/>
      <c r="GI39" s="52"/>
      <c r="GJ39" s="52"/>
      <c r="GK39" s="52"/>
      <c r="GL39" s="52"/>
      <c r="GM39" s="52"/>
      <c r="GN39" s="52"/>
      <c r="GO39" s="52"/>
      <c r="GP39" s="52"/>
      <c r="GQ39" s="52"/>
      <c r="GR39" s="52"/>
      <c r="GS39" s="52"/>
      <c r="GT39" s="52"/>
      <c r="GU39" s="52"/>
      <c r="GV39" s="52"/>
      <c r="GW39" s="52"/>
      <c r="GX39" s="52"/>
      <c r="GY39" s="52"/>
      <c r="GZ39" s="52"/>
      <c r="HA39" s="52"/>
      <c r="HB39" s="52"/>
      <c r="HC39" s="52"/>
      <c r="HD39" s="52"/>
      <c r="HE39" s="52"/>
      <c r="HF39" s="52"/>
      <c r="HG39" s="52"/>
      <c r="HH39" s="52"/>
      <c r="HI39" s="52"/>
      <c r="HJ39" s="52"/>
      <c r="HK39" s="52"/>
      <c r="HL39" s="52"/>
      <c r="HM39" s="52"/>
      <c r="HN39" s="52"/>
      <c r="HO39" s="52"/>
      <c r="HP39" s="52"/>
      <c r="HQ39" s="52"/>
      <c r="HR39" s="52"/>
      <c r="HS39" s="52"/>
      <c r="HT39" s="52"/>
      <c r="HU39" s="52"/>
      <c r="HV39" s="52"/>
      <c r="HW39" s="52"/>
      <c r="HX39" s="52"/>
      <c r="HY39" s="52"/>
      <c r="HZ39" s="52"/>
      <c r="IA39" s="52"/>
      <c r="IB39" s="52"/>
      <c r="IC39" s="52"/>
      <c r="ID39" s="52"/>
      <c r="IE39" s="52"/>
      <c r="IF39" s="52"/>
      <c r="IG39" s="52"/>
      <c r="IH39" s="52"/>
      <c r="II39" s="52"/>
      <c r="IJ39" s="52"/>
      <c r="IK39" s="52"/>
      <c r="IL39" s="52"/>
      <c r="IM39" s="52"/>
      <c r="IN39" s="52"/>
      <c r="IO39" s="52"/>
      <c r="IP39" s="52"/>
      <c r="IQ39" s="52"/>
      <c r="IR39" s="52"/>
      <c r="IS39" s="52"/>
      <c r="IT39" s="52"/>
      <c r="IU39" s="52"/>
      <c r="IV39" s="52"/>
    </row>
    <row r="40" spans="1:256" ht="13.5" customHeight="1" x14ac:dyDescent="0.25">
      <c r="A40" s="1" t="s">
        <v>27</v>
      </c>
      <c r="B40" s="1"/>
      <c r="C40" s="1"/>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8" customHeight="1" x14ac:dyDescent="0.25">
      <c r="A41" s="1" t="s">
        <v>130</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75" customHeight="1" x14ac:dyDescent="0.25">
      <c r="A42" s="2" t="s">
        <v>28</v>
      </c>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7.25" customHeight="1" x14ac:dyDescent="0.25">
      <c r="A43" s="52" t="s">
        <v>29</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sheetData>
  <mergeCells count="48">
    <mergeCell ref="B17:C17"/>
    <mergeCell ref="D17:G17"/>
    <mergeCell ref="B18:C18"/>
    <mergeCell ref="D18:G18"/>
    <mergeCell ref="C1:I1"/>
    <mergeCell ref="A11:I11"/>
    <mergeCell ref="A12:I12"/>
    <mergeCell ref="A14:I14"/>
    <mergeCell ref="B16:C16"/>
    <mergeCell ref="D16:G16"/>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7:C37"/>
    <mergeCell ref="D37:G37"/>
    <mergeCell ref="B31:C31"/>
    <mergeCell ref="D31:G31"/>
    <mergeCell ref="B32:C32"/>
    <mergeCell ref="D32:G32"/>
    <mergeCell ref="B34:C34"/>
    <mergeCell ref="D34:G34"/>
    <mergeCell ref="B33:C33"/>
    <mergeCell ref="D33:G33"/>
    <mergeCell ref="B35:C35"/>
    <mergeCell ref="D35:G35"/>
    <mergeCell ref="B36:C36"/>
    <mergeCell ref="D36:G3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A10" zoomScaleNormal="100" workbookViewId="0">
      <selection activeCell="B3" sqref="B3"/>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6" x14ac:dyDescent="0.25">
      <c r="B1" s="116" t="s">
        <v>55</v>
      </c>
      <c r="C1" s="116"/>
      <c r="D1" s="116"/>
    </row>
    <row r="3" spans="1:6" x14ac:dyDescent="0.25">
      <c r="A3" s="92" t="s">
        <v>234</v>
      </c>
      <c r="B3" s="93"/>
      <c r="C3" s="94"/>
      <c r="D3" s="92" t="s">
        <v>235</v>
      </c>
      <c r="E3"/>
      <c r="F3" s="52"/>
    </row>
    <row r="4" spans="1:6" x14ac:dyDescent="0.25">
      <c r="A4" s="95" t="s">
        <v>236</v>
      </c>
      <c r="B4" s="96"/>
      <c r="C4" s="94"/>
      <c r="D4" s="95" t="s">
        <v>237</v>
      </c>
      <c r="E4"/>
      <c r="F4" s="52"/>
    </row>
    <row r="5" spans="1:6" x14ac:dyDescent="0.25">
      <c r="A5" s="97" t="s">
        <v>4</v>
      </c>
      <c r="B5" s="98"/>
      <c r="C5" s="20"/>
      <c r="D5" s="97" t="s">
        <v>238</v>
      </c>
      <c r="E5" s="99"/>
      <c r="F5" s="52"/>
    </row>
    <row r="6" spans="1:6" x14ac:dyDescent="0.25">
      <c r="A6" s="97" t="s">
        <v>239</v>
      </c>
      <c r="B6" s="98"/>
      <c r="C6" s="100"/>
      <c r="D6" s="97" t="s">
        <v>5</v>
      </c>
      <c r="E6" s="101"/>
      <c r="F6" s="52"/>
    </row>
    <row r="7" spans="1:6" x14ac:dyDescent="0.25">
      <c r="A7"/>
      <c r="B7" s="102"/>
      <c r="C7"/>
      <c r="D7" s="97"/>
      <c r="E7" s="99"/>
      <c r="F7" s="52"/>
    </row>
    <row r="8" spans="1:6" x14ac:dyDescent="0.25">
      <c r="A8" s="97" t="s">
        <v>240</v>
      </c>
      <c r="B8" s="98"/>
      <c r="D8" s="97" t="s">
        <v>241</v>
      </c>
      <c r="E8" s="99"/>
      <c r="F8" s="52"/>
    </row>
    <row r="9" spans="1:6" x14ac:dyDescent="0.25">
      <c r="A9" s="97" t="s">
        <v>251</v>
      </c>
      <c r="B9" s="98"/>
      <c r="D9" s="97" t="s">
        <v>252</v>
      </c>
      <c r="E9" s="98"/>
      <c r="F9" s="54"/>
    </row>
    <row r="10" spans="1:6" x14ac:dyDescent="0.25">
      <c r="A10" s="4"/>
      <c r="D10" s="5"/>
      <c r="E10" s="6"/>
    </row>
    <row r="11" spans="1:6" ht="18" customHeight="1" x14ac:dyDescent="0.25">
      <c r="A11" s="117" t="s">
        <v>10</v>
      </c>
      <c r="B11" s="117"/>
      <c r="C11" s="117"/>
      <c r="D11" s="117"/>
      <c r="E11" s="117"/>
    </row>
    <row r="12" spans="1:6" x14ac:dyDescent="0.25">
      <c r="C12" s="103" t="s">
        <v>159</v>
      </c>
    </row>
    <row r="13" spans="1:6" x14ac:dyDescent="0.25">
      <c r="C13" s="7"/>
    </row>
    <row r="14" spans="1:6" ht="35.25" customHeight="1" x14ac:dyDescent="0.25">
      <c r="A14" s="118" t="s">
        <v>243</v>
      </c>
      <c r="B14" s="118"/>
      <c r="C14" s="118"/>
      <c r="D14" s="118"/>
      <c r="E14" s="118"/>
    </row>
    <row r="15" spans="1:6" x14ac:dyDescent="0.25">
      <c r="A15" s="8"/>
      <c r="B15" s="8"/>
      <c r="C15" s="8"/>
      <c r="D15" s="8"/>
      <c r="E15" s="8"/>
    </row>
    <row r="16" spans="1:6" ht="95.25" customHeight="1" x14ac:dyDescent="0.25">
      <c r="A16" s="9" t="s">
        <v>12</v>
      </c>
      <c r="B16" s="9" t="s">
        <v>13</v>
      </c>
      <c r="C16" s="9" t="s">
        <v>14</v>
      </c>
      <c r="D16" s="9" t="s">
        <v>15</v>
      </c>
      <c r="E16" s="9" t="s">
        <v>16</v>
      </c>
    </row>
    <row r="17" spans="1:5" ht="123.75" customHeight="1" x14ac:dyDescent="0.25">
      <c r="A17" s="10">
        <v>1</v>
      </c>
      <c r="B17" s="11" t="s">
        <v>244</v>
      </c>
      <c r="C17" s="11" t="s">
        <v>245</v>
      </c>
      <c r="D17" s="12" t="s">
        <v>246</v>
      </c>
      <c r="E17" s="13">
        <f>4932.93*2.4*1.2*0.805*3.83</f>
        <v>43801.813812960005</v>
      </c>
    </row>
    <row r="18" spans="1:5" ht="57.75" customHeight="1" x14ac:dyDescent="0.25">
      <c r="A18" s="10">
        <v>2</v>
      </c>
      <c r="B18" s="104" t="s">
        <v>17</v>
      </c>
      <c r="C18" s="12" t="s">
        <v>18</v>
      </c>
      <c r="D18" s="12" t="s">
        <v>145</v>
      </c>
      <c r="E18" s="13">
        <f>800*1*0.5*3.83</f>
        <v>1532</v>
      </c>
    </row>
    <row r="19" spans="1:5" ht="48" customHeight="1" x14ac:dyDescent="0.25">
      <c r="A19" s="10">
        <v>3</v>
      </c>
      <c r="B19" s="12" t="s">
        <v>20</v>
      </c>
      <c r="C19" s="15" t="s">
        <v>21</v>
      </c>
      <c r="D19" s="16">
        <f>(E17+E18)*0.1</f>
        <v>4533.3813812960007</v>
      </c>
      <c r="E19" s="17">
        <f>D19</f>
        <v>4533.3813812960007</v>
      </c>
    </row>
    <row r="20" spans="1:5" ht="48" customHeight="1" x14ac:dyDescent="0.25">
      <c r="A20" s="10">
        <v>4</v>
      </c>
      <c r="B20" s="12" t="s">
        <v>22</v>
      </c>
      <c r="C20" s="12" t="s">
        <v>89</v>
      </c>
      <c r="D20" s="16"/>
      <c r="E20" s="17">
        <v>9874.7199999999993</v>
      </c>
    </row>
    <row r="21" spans="1:5" ht="48" customHeight="1" x14ac:dyDescent="0.25">
      <c r="A21" s="10">
        <v>5</v>
      </c>
      <c r="B21" s="12" t="s">
        <v>23</v>
      </c>
      <c r="C21" s="15"/>
      <c r="D21" s="16"/>
      <c r="E21" s="17">
        <v>58421</v>
      </c>
    </row>
    <row r="22" spans="1:5" x14ac:dyDescent="0.25">
      <c r="A22" s="18"/>
      <c r="B22" s="19" t="s">
        <v>24</v>
      </c>
      <c r="C22" s="15"/>
      <c r="D22" s="15"/>
      <c r="E22" s="17">
        <f>E20+E19+E18+E17+E21</f>
        <v>118162.915194256</v>
      </c>
    </row>
    <row r="23" spans="1:5" x14ac:dyDescent="0.25">
      <c r="A23" s="18"/>
      <c r="B23" s="19" t="s">
        <v>25</v>
      </c>
      <c r="C23" s="15"/>
      <c r="D23" s="15"/>
      <c r="E23" s="17">
        <f>ROUND(E22*18%,2)</f>
        <v>21269.32</v>
      </c>
    </row>
    <row r="24" spans="1:5" x14ac:dyDescent="0.25">
      <c r="A24" s="18"/>
      <c r="B24" s="19" t="s">
        <v>26</v>
      </c>
      <c r="C24" s="15"/>
      <c r="D24" s="15"/>
      <c r="E24" s="17">
        <f>E22+E23</f>
        <v>139432.23519425601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abSelected="1" zoomScaleNormal="100" workbookViewId="0">
      <selection activeCell="F12" sqref="F12"/>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285</v>
      </c>
      <c r="C1" s="116"/>
      <c r="D1" s="116"/>
    </row>
    <row r="3" spans="1:5" x14ac:dyDescent="0.25">
      <c r="A3" s="92" t="s">
        <v>234</v>
      </c>
      <c r="B3" s="93"/>
      <c r="C3" s="94"/>
      <c r="D3" s="92" t="s">
        <v>235</v>
      </c>
      <c r="E3"/>
    </row>
    <row r="4" spans="1:5" x14ac:dyDescent="0.25">
      <c r="A4" s="95" t="s">
        <v>236</v>
      </c>
      <c r="B4" s="96"/>
      <c r="C4" s="94"/>
      <c r="D4" s="95" t="s">
        <v>237</v>
      </c>
      <c r="E4"/>
    </row>
    <row r="5" spans="1:5" x14ac:dyDescent="0.25">
      <c r="A5" s="97" t="s">
        <v>4</v>
      </c>
      <c r="B5" s="98"/>
      <c r="C5" s="20"/>
      <c r="D5" s="97" t="s">
        <v>238</v>
      </c>
      <c r="E5" s="99"/>
    </row>
    <row r="6" spans="1:5" x14ac:dyDescent="0.25">
      <c r="A6" s="97" t="s">
        <v>239</v>
      </c>
      <c r="B6" s="98"/>
      <c r="C6" s="100"/>
      <c r="D6" s="97" t="s">
        <v>5</v>
      </c>
      <c r="E6" s="101"/>
    </row>
    <row r="7" spans="1:5" x14ac:dyDescent="0.25">
      <c r="A7"/>
      <c r="B7" s="102"/>
      <c r="C7"/>
      <c r="D7" s="97"/>
      <c r="E7" s="99"/>
    </row>
    <row r="8" spans="1:5" x14ac:dyDescent="0.25">
      <c r="A8" s="97" t="s">
        <v>240</v>
      </c>
      <c r="B8" s="98"/>
      <c r="D8" s="97" t="s">
        <v>241</v>
      </c>
      <c r="E8" s="99"/>
    </row>
    <row r="9" spans="1:5" x14ac:dyDescent="0.25">
      <c r="A9" s="97" t="s">
        <v>286</v>
      </c>
      <c r="B9" s="98"/>
      <c r="D9" s="97" t="s">
        <v>287</v>
      </c>
      <c r="E9" s="98"/>
    </row>
    <row r="10" spans="1:5" x14ac:dyDescent="0.25">
      <c r="A10" s="4"/>
      <c r="D10" s="5"/>
      <c r="E10" s="6"/>
    </row>
    <row r="11" spans="1:5" ht="18" customHeight="1" x14ac:dyDescent="0.25">
      <c r="A11" s="117" t="s">
        <v>10</v>
      </c>
      <c r="B11" s="117"/>
      <c r="C11" s="117"/>
      <c r="D11" s="117"/>
      <c r="E11" s="117"/>
    </row>
    <row r="12" spans="1:5" x14ac:dyDescent="0.25">
      <c r="C12" s="103" t="s">
        <v>159</v>
      </c>
    </row>
    <row r="13" spans="1:5" x14ac:dyDescent="0.25">
      <c r="C13" s="7"/>
    </row>
    <row r="14" spans="1:5" ht="35.25" customHeight="1" x14ac:dyDescent="0.25">
      <c r="A14" s="118" t="s">
        <v>247</v>
      </c>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248</v>
      </c>
      <c r="C17" s="11" t="s">
        <v>249</v>
      </c>
      <c r="D17" s="12" t="s">
        <v>250</v>
      </c>
      <c r="E17" s="13">
        <f>6565*2.4*1.2*0.805*3.83</f>
        <v>58293.733680000012</v>
      </c>
    </row>
    <row r="18" spans="1:5" ht="57.75" customHeight="1" x14ac:dyDescent="0.25">
      <c r="A18" s="10">
        <v>2</v>
      </c>
      <c r="B18" s="104" t="s">
        <v>17</v>
      </c>
      <c r="C18" s="12" t="s">
        <v>18</v>
      </c>
      <c r="D18" s="12" t="s">
        <v>145</v>
      </c>
      <c r="E18" s="13">
        <f>800*1*0.5*3.83</f>
        <v>1532</v>
      </c>
    </row>
    <row r="19" spans="1:5" ht="48" customHeight="1" x14ac:dyDescent="0.25">
      <c r="A19" s="10">
        <v>3</v>
      </c>
      <c r="B19" s="12" t="s">
        <v>20</v>
      </c>
      <c r="C19" s="15" t="s">
        <v>21</v>
      </c>
      <c r="D19" s="16">
        <f>(E17+E18)*0.1</f>
        <v>5982.5733680000012</v>
      </c>
      <c r="E19" s="17">
        <f>D19</f>
        <v>5982.5733680000012</v>
      </c>
    </row>
    <row r="20" spans="1:5" ht="48" customHeight="1" x14ac:dyDescent="0.25">
      <c r="A20" s="10">
        <v>4</v>
      </c>
      <c r="B20" s="12" t="s">
        <v>22</v>
      </c>
      <c r="C20" s="12" t="s">
        <v>89</v>
      </c>
      <c r="D20" s="16"/>
      <c r="E20" s="17">
        <v>4237.29</v>
      </c>
    </row>
    <row r="21" spans="1:5" ht="48" customHeight="1" x14ac:dyDescent="0.25">
      <c r="A21" s="10">
        <v>5</v>
      </c>
      <c r="B21" s="12" t="s">
        <v>23</v>
      </c>
      <c r="C21" s="15"/>
      <c r="D21" s="16"/>
      <c r="E21" s="17">
        <v>79606</v>
      </c>
    </row>
    <row r="22" spans="1:5" x14ac:dyDescent="0.25">
      <c r="A22" s="28">
        <v>6</v>
      </c>
      <c r="B22" s="19" t="s">
        <v>24</v>
      </c>
      <c r="C22" s="15"/>
      <c r="D22" s="15" t="s">
        <v>282</v>
      </c>
      <c r="E22" s="17">
        <f>E20+E19+E18+E17+E21</f>
        <v>149651.59704800003</v>
      </c>
    </row>
    <row r="23" spans="1:5" x14ac:dyDescent="0.25">
      <c r="A23" s="28">
        <v>7</v>
      </c>
      <c r="B23" s="19" t="s">
        <v>254</v>
      </c>
      <c r="C23" s="15"/>
      <c r="D23" s="15" t="s">
        <v>283</v>
      </c>
      <c r="E23" s="17">
        <f>ROUND(E22*20%,2)</f>
        <v>29930.32</v>
      </c>
    </row>
    <row r="24" spans="1:5" x14ac:dyDescent="0.25">
      <c r="A24" s="28">
        <v>8</v>
      </c>
      <c r="B24" s="19" t="s">
        <v>26</v>
      </c>
      <c r="C24" s="15"/>
      <c r="D24" s="15" t="s">
        <v>284</v>
      </c>
      <c r="E24" s="17">
        <f>E22+E23</f>
        <v>179581.91704800003</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281</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E20" sqref="E20"/>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0</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7</v>
      </c>
      <c r="D7" s="2" t="s">
        <v>8</v>
      </c>
      <c r="E7" s="3"/>
    </row>
    <row r="8" spans="1:5" x14ac:dyDescent="0.25">
      <c r="A8" s="4" t="s">
        <v>9</v>
      </c>
      <c r="D8" s="2" t="str">
        <f>A8</f>
        <v>"___" ___________ 2017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40</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41</v>
      </c>
      <c r="C17" s="11" t="s">
        <v>42</v>
      </c>
      <c r="D17" s="12" t="s">
        <v>43</v>
      </c>
      <c r="E17" s="13">
        <f>2000.26*2.4*1.2*0.805*3.99</f>
        <v>18503.237108159999</v>
      </c>
    </row>
    <row r="18" spans="1:5" ht="57.75" customHeight="1" x14ac:dyDescent="0.25">
      <c r="A18" s="10">
        <v>2</v>
      </c>
      <c r="B18" s="14" t="s">
        <v>17</v>
      </c>
      <c r="C18" s="12" t="s">
        <v>18</v>
      </c>
      <c r="D18" s="12" t="s">
        <v>44</v>
      </c>
      <c r="E18" s="13">
        <f>800*2*0.5*3.99</f>
        <v>3192</v>
      </c>
    </row>
    <row r="19" spans="1:5" ht="48" customHeight="1" x14ac:dyDescent="0.25">
      <c r="A19" s="10">
        <v>3</v>
      </c>
      <c r="B19" s="12" t="s">
        <v>20</v>
      </c>
      <c r="C19" s="15" t="s">
        <v>21</v>
      </c>
      <c r="D19" s="16">
        <f>(E17+E18)*0.1</f>
        <v>2169.5237108159999</v>
      </c>
      <c r="E19" s="17">
        <f>D19</f>
        <v>2169.5237108159999</v>
      </c>
    </row>
    <row r="20" spans="1:5" ht="48" customHeight="1" x14ac:dyDescent="0.25">
      <c r="A20" s="10">
        <v>4</v>
      </c>
      <c r="B20" s="12" t="s">
        <v>22</v>
      </c>
      <c r="C20" s="15"/>
      <c r="D20" s="16"/>
      <c r="E20" s="17">
        <v>10000</v>
      </c>
    </row>
    <row r="21" spans="1:5" ht="48" customHeight="1" x14ac:dyDescent="0.25">
      <c r="A21" s="10">
        <v>5</v>
      </c>
      <c r="B21" s="12" t="s">
        <v>23</v>
      </c>
      <c r="C21" s="15"/>
      <c r="D21" s="16"/>
      <c r="E21" s="17">
        <v>35235.389799999997</v>
      </c>
    </row>
    <row r="22" spans="1:5" x14ac:dyDescent="0.25">
      <c r="A22" s="18"/>
      <c r="B22" s="19" t="s">
        <v>24</v>
      </c>
      <c r="C22" s="15"/>
      <c r="D22" s="15"/>
      <c r="E22" s="17">
        <f>E21+E20+E19+E18+E17</f>
        <v>69100.150618975997</v>
      </c>
    </row>
    <row r="23" spans="1:5" x14ac:dyDescent="0.25">
      <c r="A23" s="18"/>
      <c r="B23" s="19" t="s">
        <v>25</v>
      </c>
      <c r="C23" s="15"/>
      <c r="D23" s="15"/>
      <c r="E23" s="17">
        <f>ROUND(E22*18%,2)</f>
        <v>12438.03</v>
      </c>
    </row>
    <row r="24" spans="1:5" x14ac:dyDescent="0.25">
      <c r="A24" s="18"/>
      <c r="B24" s="19" t="s">
        <v>26</v>
      </c>
      <c r="C24" s="15"/>
      <c r="D24" s="15"/>
      <c r="E24" s="17">
        <f>E22+E23</f>
        <v>81538.180618975995</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9" zoomScaleNormal="100" workbookViewId="0">
      <selection activeCell="E21" sqref="E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92" t="s">
        <v>234</v>
      </c>
      <c r="B3" s="93"/>
      <c r="C3" s="94"/>
      <c r="D3" s="92" t="s">
        <v>235</v>
      </c>
      <c r="E3"/>
    </row>
    <row r="4" spans="1:5" x14ac:dyDescent="0.25">
      <c r="A4" s="95" t="s">
        <v>236</v>
      </c>
      <c r="B4" s="96"/>
      <c r="C4" s="94"/>
      <c r="D4" s="95" t="s">
        <v>237</v>
      </c>
      <c r="E4"/>
    </row>
    <row r="5" spans="1:5" x14ac:dyDescent="0.25">
      <c r="A5" s="97" t="s">
        <v>4</v>
      </c>
      <c r="B5" s="98"/>
      <c r="C5" s="20"/>
      <c r="D5" s="97" t="s">
        <v>238</v>
      </c>
      <c r="E5" s="99"/>
    </row>
    <row r="6" spans="1:5" x14ac:dyDescent="0.25">
      <c r="A6" s="97" t="s">
        <v>239</v>
      </c>
      <c r="B6" s="98"/>
      <c r="C6" s="100"/>
      <c r="D6" s="97" t="s">
        <v>5</v>
      </c>
      <c r="E6" s="101"/>
    </row>
    <row r="7" spans="1:5" x14ac:dyDescent="0.25">
      <c r="A7"/>
      <c r="B7" s="102"/>
      <c r="C7"/>
      <c r="D7" s="97"/>
      <c r="E7" s="99"/>
    </row>
    <row r="8" spans="1:5" x14ac:dyDescent="0.25">
      <c r="A8" s="97" t="s">
        <v>240</v>
      </c>
      <c r="B8" s="98"/>
      <c r="D8" s="97" t="s">
        <v>241</v>
      </c>
      <c r="E8" s="99"/>
    </row>
    <row r="9" spans="1:5" x14ac:dyDescent="0.25">
      <c r="A9" s="97" t="s">
        <v>251</v>
      </c>
      <c r="B9" s="98"/>
      <c r="D9" s="97" t="s">
        <v>252</v>
      </c>
      <c r="E9" s="98"/>
    </row>
    <row r="10" spans="1:5" x14ac:dyDescent="0.25">
      <c r="A10" s="4"/>
      <c r="D10" s="5"/>
      <c r="E10" s="6"/>
    </row>
    <row r="11" spans="1:5" ht="18" customHeight="1" x14ac:dyDescent="0.25">
      <c r="A11" s="117" t="s">
        <v>10</v>
      </c>
      <c r="B11" s="117"/>
      <c r="C11" s="117"/>
      <c r="D11" s="117"/>
      <c r="E11" s="117"/>
    </row>
    <row r="12" spans="1:5" x14ac:dyDescent="0.25">
      <c r="C12" s="105" t="s">
        <v>159</v>
      </c>
    </row>
    <row r="13" spans="1:5" x14ac:dyDescent="0.25">
      <c r="C13" s="7"/>
    </row>
    <row r="14" spans="1:5" ht="35.25" customHeight="1" x14ac:dyDescent="0.25">
      <c r="A14" s="118" t="s">
        <v>253</v>
      </c>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255</v>
      </c>
      <c r="C17" s="11" t="s">
        <v>256</v>
      </c>
      <c r="D17" s="12" t="s">
        <v>257</v>
      </c>
      <c r="E17" s="13">
        <f>1319.52*2.4*1.2*0.805*3.83</f>
        <v>11716.640893440001</v>
      </c>
    </row>
    <row r="18" spans="1:5" ht="57.75" customHeight="1" x14ac:dyDescent="0.25">
      <c r="A18" s="10">
        <v>2</v>
      </c>
      <c r="B18" s="106" t="s">
        <v>17</v>
      </c>
      <c r="C18" s="12" t="s">
        <v>18</v>
      </c>
      <c r="D18" s="12" t="s">
        <v>145</v>
      </c>
      <c r="E18" s="13">
        <f>800*1*0.5*3.83</f>
        <v>1532</v>
      </c>
    </row>
    <row r="19" spans="1:5" ht="48" customHeight="1" x14ac:dyDescent="0.25">
      <c r="A19" s="10">
        <v>3</v>
      </c>
      <c r="B19" s="12" t="s">
        <v>20</v>
      </c>
      <c r="C19" s="15" t="s">
        <v>21</v>
      </c>
      <c r="D19" s="16">
        <f>(E17+E18)*0.1</f>
        <v>1324.8640893440001</v>
      </c>
      <c r="E19" s="17">
        <f>D19</f>
        <v>1324.8640893440001</v>
      </c>
    </row>
    <row r="20" spans="1:5" ht="48" customHeight="1" x14ac:dyDescent="0.25">
      <c r="A20" s="10">
        <v>4</v>
      </c>
      <c r="B20" s="12" t="s">
        <v>22</v>
      </c>
      <c r="C20" s="12" t="s">
        <v>89</v>
      </c>
      <c r="D20" s="16"/>
      <c r="E20" s="17">
        <v>16752.55</v>
      </c>
    </row>
    <row r="21" spans="1:5" ht="48" customHeight="1" x14ac:dyDescent="0.25">
      <c r="A21" s="10">
        <v>5</v>
      </c>
      <c r="B21" s="12" t="s">
        <v>23</v>
      </c>
      <c r="C21" s="15"/>
      <c r="D21" s="16"/>
      <c r="E21" s="17">
        <v>22506.55</v>
      </c>
    </row>
    <row r="22" spans="1:5" x14ac:dyDescent="0.25">
      <c r="A22" s="18"/>
      <c r="B22" s="19" t="s">
        <v>24</v>
      </c>
      <c r="C22" s="15"/>
      <c r="D22" s="15"/>
      <c r="E22" s="17">
        <f>E20+E19+E18+E17+E21</f>
        <v>53832.604982784003</v>
      </c>
    </row>
    <row r="23" spans="1:5" x14ac:dyDescent="0.25">
      <c r="A23" s="18"/>
      <c r="B23" s="19" t="s">
        <v>254</v>
      </c>
      <c r="C23" s="15"/>
      <c r="D23" s="15"/>
      <c r="E23" s="17">
        <f>ROUND(E22*20%,2)</f>
        <v>10766.52</v>
      </c>
    </row>
    <row r="24" spans="1:5" x14ac:dyDescent="0.25">
      <c r="A24" s="18"/>
      <c r="B24" s="19" t="s">
        <v>26</v>
      </c>
      <c r="C24" s="15"/>
      <c r="D24" s="15"/>
      <c r="E24" s="17">
        <f>E22+E23</f>
        <v>64599.124982784007</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3" zoomScaleNormal="100" workbookViewId="0">
      <selection activeCell="C17" sqref="C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92" t="s">
        <v>234</v>
      </c>
      <c r="B3" s="93"/>
      <c r="C3" s="94"/>
      <c r="D3" s="92" t="s">
        <v>235</v>
      </c>
      <c r="E3"/>
    </row>
    <row r="4" spans="1:5" x14ac:dyDescent="0.25">
      <c r="A4" s="95" t="s">
        <v>236</v>
      </c>
      <c r="B4" s="96"/>
      <c r="C4" s="94"/>
      <c r="D4" s="95" t="s">
        <v>237</v>
      </c>
      <c r="E4"/>
    </row>
    <row r="5" spans="1:5" x14ac:dyDescent="0.25">
      <c r="A5" s="97" t="s">
        <v>4</v>
      </c>
      <c r="B5" s="98"/>
      <c r="C5" s="20"/>
      <c r="D5" s="97" t="s">
        <v>238</v>
      </c>
      <c r="E5" s="99"/>
    </row>
    <row r="6" spans="1:5" x14ac:dyDescent="0.25">
      <c r="A6" s="97" t="s">
        <v>239</v>
      </c>
      <c r="B6" s="98"/>
      <c r="C6" s="100"/>
      <c r="D6" s="97" t="s">
        <v>5</v>
      </c>
      <c r="E6" s="101"/>
    </row>
    <row r="7" spans="1:5" x14ac:dyDescent="0.25">
      <c r="A7"/>
      <c r="B7" s="102"/>
      <c r="C7"/>
      <c r="D7" s="97"/>
      <c r="E7" s="99"/>
    </row>
    <row r="8" spans="1:5" x14ac:dyDescent="0.25">
      <c r="A8" s="97" t="s">
        <v>240</v>
      </c>
      <c r="B8" s="98"/>
      <c r="D8" s="97" t="s">
        <v>241</v>
      </c>
      <c r="E8" s="99"/>
    </row>
    <row r="9" spans="1:5" x14ac:dyDescent="0.25">
      <c r="A9" s="97" t="s">
        <v>251</v>
      </c>
      <c r="B9" s="98"/>
      <c r="D9" s="97" t="s">
        <v>252</v>
      </c>
      <c r="E9" s="98"/>
    </row>
    <row r="10" spans="1:5" x14ac:dyDescent="0.25">
      <c r="A10" s="4"/>
      <c r="D10" s="5"/>
      <c r="E10" s="6"/>
    </row>
    <row r="11" spans="1:5" ht="18" customHeight="1" x14ac:dyDescent="0.25">
      <c r="A11" s="117" t="s">
        <v>10</v>
      </c>
      <c r="B11" s="117"/>
      <c r="C11" s="117"/>
      <c r="D11" s="117"/>
      <c r="E11" s="117"/>
    </row>
    <row r="12" spans="1:5" x14ac:dyDescent="0.25">
      <c r="C12" s="107" t="s">
        <v>159</v>
      </c>
    </row>
    <row r="13" spans="1:5" x14ac:dyDescent="0.25">
      <c r="C13" s="7"/>
    </row>
    <row r="14" spans="1:5" ht="35.25" customHeight="1" x14ac:dyDescent="0.25">
      <c r="A14" s="118" t="s">
        <v>258</v>
      </c>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259</v>
      </c>
      <c r="C17" s="11" t="s">
        <v>260</v>
      </c>
      <c r="D17" s="12" t="s">
        <v>261</v>
      </c>
      <c r="E17" s="13">
        <f>1120.62*2.4*1.2*0.805*3.83</f>
        <v>9950.5139126400009</v>
      </c>
    </row>
    <row r="18" spans="1:5" ht="57.75" customHeight="1" x14ac:dyDescent="0.25">
      <c r="A18" s="10">
        <v>2</v>
      </c>
      <c r="B18" s="108" t="s">
        <v>17</v>
      </c>
      <c r="C18" s="12" t="s">
        <v>18</v>
      </c>
      <c r="D18" s="12" t="s">
        <v>145</v>
      </c>
      <c r="E18" s="13">
        <f>800*1*0.5*3.83</f>
        <v>1532</v>
      </c>
    </row>
    <row r="19" spans="1:5" ht="48" customHeight="1" x14ac:dyDescent="0.25">
      <c r="A19" s="10">
        <v>3</v>
      </c>
      <c r="B19" s="12" t="s">
        <v>20</v>
      </c>
      <c r="C19" s="15" t="s">
        <v>21</v>
      </c>
      <c r="D19" s="16">
        <f>(E17+E18)*0.1</f>
        <v>1148.2513912640002</v>
      </c>
      <c r="E19" s="17">
        <f>D19</f>
        <v>1148.2513912640002</v>
      </c>
    </row>
    <row r="20" spans="1:5" x14ac:dyDescent="0.25">
      <c r="A20" s="28">
        <v>4</v>
      </c>
      <c r="B20" s="19" t="s">
        <v>24</v>
      </c>
      <c r="C20" s="15" t="s">
        <v>262</v>
      </c>
      <c r="D20" s="15"/>
      <c r="E20" s="17">
        <f>E19+E18+E17</f>
        <v>12630.765303904001</v>
      </c>
    </row>
    <row r="21" spans="1:5" x14ac:dyDescent="0.25">
      <c r="A21" s="28">
        <v>5</v>
      </c>
      <c r="B21" s="19" t="s">
        <v>254</v>
      </c>
      <c r="C21" s="15" t="s">
        <v>263</v>
      </c>
      <c r="D21" s="15"/>
      <c r="E21" s="17">
        <f>ROUND(E20*20%,2)</f>
        <v>2526.15</v>
      </c>
    </row>
    <row r="22" spans="1:5" x14ac:dyDescent="0.25">
      <c r="A22" s="28">
        <v>6</v>
      </c>
      <c r="B22" s="19" t="s">
        <v>26</v>
      </c>
      <c r="C22" s="15" t="s">
        <v>264</v>
      </c>
      <c r="D22" s="15"/>
      <c r="E22" s="17">
        <f>E20+E21</f>
        <v>15156.915303904001</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265</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zoomScaleNormal="100" workbookViewId="0">
      <selection activeCell="E17" sqref="E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92" t="s">
        <v>234</v>
      </c>
      <c r="B3" s="93"/>
      <c r="C3" s="94"/>
      <c r="D3" s="92" t="s">
        <v>235</v>
      </c>
      <c r="E3"/>
    </row>
    <row r="4" spans="1:5" x14ac:dyDescent="0.25">
      <c r="A4" s="95" t="s">
        <v>236</v>
      </c>
      <c r="B4" s="96"/>
      <c r="C4" s="94"/>
      <c r="D4" s="95" t="s">
        <v>237</v>
      </c>
      <c r="E4"/>
    </row>
    <row r="5" spans="1:5" x14ac:dyDescent="0.25">
      <c r="A5" s="97" t="s">
        <v>4</v>
      </c>
      <c r="B5" s="98"/>
      <c r="C5" s="20"/>
      <c r="D5" s="97" t="s">
        <v>183</v>
      </c>
      <c r="E5" s="99"/>
    </row>
    <row r="6" spans="1:5" x14ac:dyDescent="0.25">
      <c r="A6" s="97" t="s">
        <v>239</v>
      </c>
      <c r="B6" s="98"/>
      <c r="C6" s="100"/>
      <c r="D6" s="97" t="s">
        <v>5</v>
      </c>
      <c r="E6" s="101"/>
    </row>
    <row r="7" spans="1:5" x14ac:dyDescent="0.25">
      <c r="A7"/>
      <c r="B7" s="102"/>
      <c r="C7"/>
      <c r="D7" s="97"/>
      <c r="E7" s="99"/>
    </row>
    <row r="8" spans="1:5" x14ac:dyDescent="0.25">
      <c r="A8" s="97" t="s">
        <v>240</v>
      </c>
      <c r="B8" s="98"/>
      <c r="D8" s="97" t="s">
        <v>241</v>
      </c>
      <c r="E8" s="99"/>
    </row>
    <row r="9" spans="1:5" x14ac:dyDescent="0.25">
      <c r="A9" s="97" t="s">
        <v>251</v>
      </c>
      <c r="B9" s="98"/>
      <c r="D9" s="97" t="s">
        <v>252</v>
      </c>
      <c r="E9" s="98"/>
    </row>
    <row r="10" spans="1:5" x14ac:dyDescent="0.25">
      <c r="A10" s="4"/>
      <c r="D10" s="5"/>
      <c r="E10" s="6"/>
    </row>
    <row r="11" spans="1:5" ht="18" customHeight="1" x14ac:dyDescent="0.25">
      <c r="A11" s="117" t="s">
        <v>10</v>
      </c>
      <c r="B11" s="117"/>
      <c r="C11" s="117"/>
      <c r="D11" s="117"/>
      <c r="E11" s="117"/>
    </row>
    <row r="12" spans="1:5" x14ac:dyDescent="0.25">
      <c r="C12" s="109" t="s">
        <v>159</v>
      </c>
    </row>
    <row r="13" spans="1:5" x14ac:dyDescent="0.25">
      <c r="C13" s="7"/>
    </row>
    <row r="14" spans="1:5" ht="35.25" customHeight="1" x14ac:dyDescent="0.25">
      <c r="A14" s="118" t="s">
        <v>266</v>
      </c>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267</v>
      </c>
      <c r="C17" s="11" t="s">
        <v>268</v>
      </c>
      <c r="D17" s="12" t="s">
        <v>269</v>
      </c>
      <c r="E17" s="13">
        <f>9495.66*2.4*1.2*0.805*3.83</f>
        <v>84316.447091519993</v>
      </c>
    </row>
    <row r="18" spans="1:5" ht="57.75" customHeight="1" x14ac:dyDescent="0.25">
      <c r="A18" s="10">
        <v>2</v>
      </c>
      <c r="B18" s="110" t="s">
        <v>17</v>
      </c>
      <c r="C18" s="12" t="s">
        <v>18</v>
      </c>
      <c r="D18" s="12" t="s">
        <v>168</v>
      </c>
      <c r="E18" s="13">
        <f>800*2*0.5*3.83</f>
        <v>3064</v>
      </c>
    </row>
    <row r="19" spans="1:5" ht="48" customHeight="1" x14ac:dyDescent="0.25">
      <c r="A19" s="10">
        <v>3</v>
      </c>
      <c r="B19" s="12" t="s">
        <v>20</v>
      </c>
      <c r="C19" s="15" t="s">
        <v>21</v>
      </c>
      <c r="D19" s="16">
        <f>(E17+E18)*0.1</f>
        <v>8738.044709152</v>
      </c>
      <c r="E19" s="17">
        <f>D19</f>
        <v>8738.044709152</v>
      </c>
    </row>
    <row r="20" spans="1:5" ht="48" customHeight="1" x14ac:dyDescent="0.25">
      <c r="A20" s="10">
        <v>4</v>
      </c>
      <c r="B20" s="12" t="s">
        <v>22</v>
      </c>
      <c r="C20" s="12" t="s">
        <v>89</v>
      </c>
      <c r="D20" s="16"/>
      <c r="E20" s="17">
        <v>16666.669999999998</v>
      </c>
    </row>
    <row r="21" spans="1:5" ht="48" customHeight="1" x14ac:dyDescent="0.25">
      <c r="A21" s="10">
        <v>5</v>
      </c>
      <c r="B21" s="12" t="s">
        <v>23</v>
      </c>
      <c r="C21" s="15"/>
      <c r="D21" s="16"/>
      <c r="E21" s="17">
        <v>50032</v>
      </c>
    </row>
    <row r="22" spans="1:5" x14ac:dyDescent="0.25">
      <c r="A22" s="28">
        <v>6</v>
      </c>
      <c r="B22" s="19" t="s">
        <v>24</v>
      </c>
      <c r="C22" s="15" t="s">
        <v>271</v>
      </c>
      <c r="D22" s="15"/>
      <c r="E22" s="17">
        <f>E20+E19+E18+E17+E21</f>
        <v>162817.16180067201</v>
      </c>
    </row>
    <row r="23" spans="1:5" x14ac:dyDescent="0.25">
      <c r="A23" s="28">
        <v>7</v>
      </c>
      <c r="B23" s="19" t="s">
        <v>254</v>
      </c>
      <c r="C23" s="15" t="s">
        <v>272</v>
      </c>
      <c r="D23" s="15"/>
      <c r="E23" s="17">
        <f>ROUND(E22*20%,2)</f>
        <v>32563.43</v>
      </c>
    </row>
    <row r="24" spans="1:5" x14ac:dyDescent="0.25">
      <c r="A24" s="28">
        <v>8</v>
      </c>
      <c r="B24" s="19" t="s">
        <v>26</v>
      </c>
      <c r="C24" s="15" t="s">
        <v>273</v>
      </c>
      <c r="D24" s="15"/>
      <c r="E24" s="17">
        <f>E22+E23</f>
        <v>195380.591800672</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270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3" zoomScaleNormal="100" workbookViewId="0">
      <selection activeCell="D17" sqref="D17:G17"/>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27" t="s">
        <v>181</v>
      </c>
      <c r="D1" s="127"/>
      <c r="E1" s="127"/>
      <c r="F1" s="127"/>
      <c r="G1" s="127"/>
      <c r="H1" s="127"/>
      <c r="I1" s="127"/>
    </row>
    <row r="2" spans="1:256" x14ac:dyDescent="0.2">
      <c r="F2" s="51"/>
      <c r="G2" s="51"/>
      <c r="H2" s="51"/>
      <c r="I2" s="51"/>
    </row>
    <row r="3" spans="1:256" x14ac:dyDescent="0.2">
      <c r="F3" s="51"/>
      <c r="G3" s="51"/>
      <c r="H3" s="51"/>
      <c r="I3" s="51"/>
    </row>
    <row r="4" spans="1:256" s="52" customFormat="1" ht="15.75" x14ac:dyDescent="0.25">
      <c r="A4" s="92" t="s">
        <v>234</v>
      </c>
      <c r="B4" s="93"/>
      <c r="C4" s="94"/>
      <c r="G4" s="92" t="s">
        <v>235</v>
      </c>
      <c r="H4"/>
    </row>
    <row r="5" spans="1:256" s="52" customFormat="1" ht="15.75" x14ac:dyDescent="0.25">
      <c r="A5" s="95" t="s">
        <v>236</v>
      </c>
      <c r="B5" s="96"/>
      <c r="C5" s="94"/>
      <c r="G5" s="95" t="s">
        <v>237</v>
      </c>
      <c r="H5"/>
    </row>
    <row r="6" spans="1:256" s="52" customFormat="1" ht="15.75" x14ac:dyDescent="0.25">
      <c r="A6" s="97" t="s">
        <v>4</v>
      </c>
      <c r="B6" s="98"/>
      <c r="C6" s="20"/>
      <c r="G6" s="97" t="s">
        <v>183</v>
      </c>
      <c r="H6" s="99"/>
    </row>
    <row r="7" spans="1:256" s="52" customFormat="1" ht="15.75" x14ac:dyDescent="0.25">
      <c r="A7" s="97" t="s">
        <v>239</v>
      </c>
      <c r="B7" s="98"/>
      <c r="C7" s="100"/>
      <c r="G7" s="97" t="s">
        <v>5</v>
      </c>
      <c r="H7" s="101"/>
    </row>
    <row r="8" spans="1:256" s="52" customFormat="1" ht="15.75" x14ac:dyDescent="0.25">
      <c r="A8"/>
      <c r="B8" s="102"/>
      <c r="C8"/>
      <c r="G8" s="97"/>
      <c r="H8" s="99"/>
    </row>
    <row r="9" spans="1:256" s="52" customFormat="1" ht="15.75" x14ac:dyDescent="0.25">
      <c r="A9" s="97" t="s">
        <v>240</v>
      </c>
      <c r="B9" s="98"/>
      <c r="C9" s="1"/>
      <c r="G9" s="97" t="s">
        <v>241</v>
      </c>
      <c r="H9" s="99"/>
    </row>
    <row r="10" spans="1:256" s="52" customFormat="1" ht="15.75" x14ac:dyDescent="0.25">
      <c r="A10" s="97" t="s">
        <v>274</v>
      </c>
      <c r="B10" s="98"/>
      <c r="C10" s="1"/>
      <c r="G10" s="97" t="s">
        <v>274</v>
      </c>
      <c r="H10" s="98"/>
      <c r="I10" s="54"/>
    </row>
    <row r="11" spans="1:256" s="52" customFormat="1" ht="11.25" customHeight="1" x14ac:dyDescent="0.25">
      <c r="A11" s="2"/>
      <c r="D11" s="53"/>
      <c r="E11" s="54"/>
    </row>
    <row r="12" spans="1:256" ht="15.75" x14ac:dyDescent="0.2">
      <c r="A12" s="128" t="s">
        <v>187</v>
      </c>
      <c r="B12" s="128"/>
      <c r="C12" s="128"/>
      <c r="D12" s="128"/>
      <c r="E12" s="128"/>
      <c r="F12" s="128"/>
      <c r="G12" s="128"/>
      <c r="H12" s="128"/>
      <c r="I12" s="128"/>
    </row>
    <row r="13" spans="1:256" ht="15.75" customHeight="1" x14ac:dyDescent="0.2">
      <c r="A13" s="129" t="s">
        <v>159</v>
      </c>
      <c r="B13" s="130"/>
      <c r="C13" s="130"/>
      <c r="D13" s="130"/>
      <c r="E13" s="130"/>
      <c r="F13" s="130"/>
      <c r="G13" s="130"/>
      <c r="H13" s="130"/>
      <c r="I13" s="130"/>
    </row>
    <row r="14" spans="1:256" x14ac:dyDescent="0.2">
      <c r="A14" s="55"/>
      <c r="B14" s="56"/>
      <c r="C14" s="57"/>
      <c r="D14" s="57"/>
      <c r="E14" s="57"/>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33" customHeight="1" x14ac:dyDescent="0.25">
      <c r="A15" s="131" t="s">
        <v>276</v>
      </c>
      <c r="B15" s="131"/>
      <c r="C15" s="131"/>
      <c r="D15" s="131"/>
      <c r="E15" s="131"/>
      <c r="F15" s="131"/>
      <c r="G15" s="131"/>
      <c r="H15" s="131"/>
      <c r="I15" s="131"/>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5">
      <c r="A16" s="59"/>
      <c r="B16" s="59"/>
      <c r="C16" s="59"/>
      <c r="D16" s="59"/>
      <c r="E16" s="59"/>
      <c r="F16" s="59"/>
      <c r="G16" s="59"/>
      <c r="H16" s="59"/>
      <c r="I16" s="59"/>
      <c r="J16" s="5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9" ht="97.5" customHeight="1" x14ac:dyDescent="0.2">
      <c r="A17" s="60" t="s">
        <v>188</v>
      </c>
      <c r="B17" s="132" t="s">
        <v>189</v>
      </c>
      <c r="C17" s="133"/>
      <c r="D17" s="132" t="s">
        <v>88</v>
      </c>
      <c r="E17" s="134"/>
      <c r="F17" s="134"/>
      <c r="G17" s="133"/>
      <c r="H17" s="61" t="s">
        <v>87</v>
      </c>
      <c r="I17" s="114" t="s">
        <v>190</v>
      </c>
    </row>
    <row r="18" spans="1:9" ht="12.75" customHeight="1" x14ac:dyDescent="0.2">
      <c r="A18" s="88" t="s">
        <v>191</v>
      </c>
      <c r="B18" s="135">
        <v>2</v>
      </c>
      <c r="C18" s="136"/>
      <c r="D18" s="135">
        <v>3</v>
      </c>
      <c r="E18" s="137"/>
      <c r="F18" s="137"/>
      <c r="G18" s="136"/>
      <c r="H18" s="113">
        <v>4</v>
      </c>
      <c r="I18" s="115">
        <v>5</v>
      </c>
    </row>
    <row r="19" spans="1:9" ht="94.5" customHeight="1" x14ac:dyDescent="0.2">
      <c r="A19" s="89" t="s">
        <v>191</v>
      </c>
      <c r="B19" s="161" t="s">
        <v>277</v>
      </c>
      <c r="C19" s="161"/>
      <c r="D19" s="162" t="s">
        <v>278</v>
      </c>
      <c r="E19" s="162"/>
      <c r="F19" s="162"/>
      <c r="G19" s="162"/>
      <c r="H19" s="111" t="s">
        <v>280</v>
      </c>
      <c r="I19" s="112">
        <f>1487.55*2.4*1.2*0.805*3.83</f>
        <v>13208.658573599998</v>
      </c>
    </row>
    <row r="20" spans="1:9" ht="115.5" customHeight="1" x14ac:dyDescent="0.2">
      <c r="A20" s="75" t="s">
        <v>200</v>
      </c>
      <c r="B20" s="163" t="s">
        <v>220</v>
      </c>
      <c r="C20" s="164"/>
      <c r="D20" s="173" t="s">
        <v>221</v>
      </c>
      <c r="E20" s="174"/>
      <c r="F20" s="174"/>
      <c r="G20" s="175"/>
      <c r="H20" s="64" t="s">
        <v>224</v>
      </c>
      <c r="I20" s="65">
        <f>(11960*1*0.4*3.83*1.4*(1+0.1)*0.555)</f>
        <v>15660.428784000003</v>
      </c>
    </row>
    <row r="21" spans="1:9" ht="14.25" customHeight="1" x14ac:dyDescent="0.2">
      <c r="A21" s="75"/>
      <c r="B21" s="143" t="s">
        <v>63</v>
      </c>
      <c r="C21" s="144"/>
      <c r="D21" s="176"/>
      <c r="E21" s="177"/>
      <c r="F21" s="177"/>
      <c r="G21" s="178"/>
      <c r="H21" s="76"/>
      <c r="I21" s="87"/>
    </row>
    <row r="22" spans="1:9" ht="26.25" customHeight="1" x14ac:dyDescent="0.2">
      <c r="A22" s="75"/>
      <c r="B22" s="158" t="s">
        <v>194</v>
      </c>
      <c r="C22" s="159"/>
      <c r="D22" s="158" t="s">
        <v>222</v>
      </c>
      <c r="E22" s="160"/>
      <c r="F22" s="160"/>
      <c r="G22" s="159"/>
      <c r="H22" s="76"/>
      <c r="I22" s="87"/>
    </row>
    <row r="23" spans="1:9" ht="38.25" customHeight="1" x14ac:dyDescent="0.2">
      <c r="A23" s="75"/>
      <c r="B23" s="168"/>
      <c r="C23" s="169"/>
      <c r="D23" s="158" t="s">
        <v>196</v>
      </c>
      <c r="E23" s="160"/>
      <c r="F23" s="160"/>
      <c r="G23" s="159"/>
      <c r="H23" s="76"/>
      <c r="I23" s="87"/>
    </row>
    <row r="24" spans="1:9" ht="27.75" customHeight="1" x14ac:dyDescent="0.2">
      <c r="A24" s="75"/>
      <c r="B24" s="168"/>
      <c r="C24" s="169"/>
      <c r="D24" s="158" t="s">
        <v>197</v>
      </c>
      <c r="E24" s="160"/>
      <c r="F24" s="160"/>
      <c r="G24" s="159"/>
      <c r="H24" s="76"/>
      <c r="I24" s="87"/>
    </row>
    <row r="25" spans="1:9" ht="25.5" customHeight="1" x14ac:dyDescent="0.2">
      <c r="A25" s="75"/>
      <c r="B25" s="168"/>
      <c r="C25" s="169"/>
      <c r="D25" s="146" t="s">
        <v>198</v>
      </c>
      <c r="E25" s="148"/>
      <c r="F25" s="148"/>
      <c r="G25" s="147"/>
      <c r="H25" s="76"/>
      <c r="I25" s="87"/>
    </row>
    <row r="26" spans="1:9" ht="54.75" customHeight="1" x14ac:dyDescent="0.2">
      <c r="A26" s="75"/>
      <c r="B26" s="149" t="s">
        <v>69</v>
      </c>
      <c r="C26" s="150"/>
      <c r="D26" s="149"/>
      <c r="E26" s="151"/>
      <c r="F26" s="151"/>
      <c r="G26" s="150"/>
      <c r="H26" s="73" t="s">
        <v>223</v>
      </c>
      <c r="I26" s="87"/>
    </row>
    <row r="27" spans="1:9" ht="106.5" customHeight="1" x14ac:dyDescent="0.2">
      <c r="A27" s="75" t="s">
        <v>201</v>
      </c>
      <c r="B27" s="163" t="s">
        <v>71</v>
      </c>
      <c r="C27" s="164"/>
      <c r="D27" s="165" t="s">
        <v>72</v>
      </c>
      <c r="E27" s="166"/>
      <c r="F27" s="166"/>
      <c r="G27" s="167"/>
      <c r="H27" s="76" t="s">
        <v>228</v>
      </c>
      <c r="I27" s="77">
        <f>(0+800*1)*1*0.5*3.83</f>
        <v>1532</v>
      </c>
    </row>
    <row r="28" spans="1:9" ht="15.75" customHeight="1" x14ac:dyDescent="0.2">
      <c r="A28" s="66" t="s">
        <v>193</v>
      </c>
      <c r="B28" s="143" t="s">
        <v>63</v>
      </c>
      <c r="C28" s="144"/>
      <c r="D28" s="143"/>
      <c r="E28" s="145"/>
      <c r="F28" s="145"/>
      <c r="G28" s="144"/>
      <c r="H28" s="67"/>
      <c r="I28" s="68"/>
    </row>
    <row r="29" spans="1:9" ht="12.75" customHeight="1" x14ac:dyDescent="0.2">
      <c r="A29" s="69" t="s">
        <v>193</v>
      </c>
      <c r="B29" s="158" t="s">
        <v>64</v>
      </c>
      <c r="C29" s="159"/>
      <c r="D29" s="158" t="s">
        <v>74</v>
      </c>
      <c r="E29" s="160"/>
      <c r="F29" s="160"/>
      <c r="G29" s="159"/>
      <c r="H29" s="70"/>
      <c r="I29" s="71"/>
    </row>
    <row r="30" spans="1:9" ht="38.25" customHeight="1" x14ac:dyDescent="0.2">
      <c r="A30" s="69" t="s">
        <v>193</v>
      </c>
      <c r="B30" s="158"/>
      <c r="C30" s="159"/>
      <c r="D30" s="158" t="s">
        <v>196</v>
      </c>
      <c r="E30" s="160"/>
      <c r="F30" s="160"/>
      <c r="G30" s="159"/>
      <c r="H30" s="70"/>
      <c r="I30" s="71"/>
    </row>
    <row r="31" spans="1:9" ht="22.5" customHeight="1" x14ac:dyDescent="0.2">
      <c r="A31" s="72" t="s">
        <v>193</v>
      </c>
      <c r="B31" s="170" t="s">
        <v>69</v>
      </c>
      <c r="C31" s="171"/>
      <c r="D31" s="170"/>
      <c r="E31" s="172"/>
      <c r="F31" s="172"/>
      <c r="G31" s="171"/>
      <c r="H31" s="73" t="s">
        <v>75</v>
      </c>
      <c r="I31" s="74"/>
    </row>
    <row r="32" spans="1:9" ht="12.75" customHeight="1" x14ac:dyDescent="0.2">
      <c r="A32" s="72" t="s">
        <v>202</v>
      </c>
      <c r="B32" s="152" t="s">
        <v>76</v>
      </c>
      <c r="C32" s="153"/>
      <c r="D32" s="152"/>
      <c r="E32" s="154"/>
      <c r="F32" s="154"/>
      <c r="G32" s="153"/>
      <c r="H32" s="78"/>
      <c r="I32" s="79">
        <f>I19+I27+I20</f>
        <v>30401.087357600001</v>
      </c>
    </row>
    <row r="33" spans="1:256" ht="12.75" customHeight="1" x14ac:dyDescent="0.2">
      <c r="A33" s="80" t="s">
        <v>203</v>
      </c>
      <c r="B33" s="155" t="s">
        <v>77</v>
      </c>
      <c r="C33" s="156"/>
      <c r="D33" s="155"/>
      <c r="E33" s="157"/>
      <c r="F33" s="157"/>
      <c r="G33" s="156"/>
      <c r="H33" s="81" t="s">
        <v>217</v>
      </c>
      <c r="I33" s="82">
        <f>I32*0.1</f>
        <v>3040.1087357600004</v>
      </c>
    </row>
    <row r="34" spans="1:256" ht="39.75" customHeight="1" x14ac:dyDescent="0.2">
      <c r="A34" s="80" t="s">
        <v>204</v>
      </c>
      <c r="B34" s="155" t="s">
        <v>23</v>
      </c>
      <c r="C34" s="156"/>
      <c r="D34" s="155"/>
      <c r="E34" s="157"/>
      <c r="F34" s="157"/>
      <c r="G34" s="156"/>
      <c r="H34" s="81" t="s">
        <v>79</v>
      </c>
      <c r="I34" s="82">
        <v>20066.12</v>
      </c>
    </row>
    <row r="35" spans="1:256" ht="25.5" customHeight="1" x14ac:dyDescent="0.2">
      <c r="A35" s="80" t="s">
        <v>205</v>
      </c>
      <c r="B35" s="155" t="s">
        <v>80</v>
      </c>
      <c r="C35" s="156"/>
      <c r="D35" s="155"/>
      <c r="E35" s="157"/>
      <c r="F35" s="157"/>
      <c r="G35" s="156"/>
      <c r="H35" s="81" t="s">
        <v>79</v>
      </c>
      <c r="I35" s="82">
        <v>4237.28</v>
      </c>
    </row>
    <row r="36" spans="1:256" ht="12.75" customHeight="1" x14ac:dyDescent="0.2">
      <c r="A36" s="80" t="s">
        <v>206</v>
      </c>
      <c r="B36" s="155" t="s">
        <v>81</v>
      </c>
      <c r="C36" s="156"/>
      <c r="D36" s="155"/>
      <c r="E36" s="157"/>
      <c r="F36" s="157"/>
      <c r="G36" s="156"/>
      <c r="H36" s="81" t="s">
        <v>230</v>
      </c>
      <c r="I36" s="82">
        <f>I32+I33+I34+I35</f>
        <v>57744.59609336</v>
      </c>
    </row>
    <row r="37" spans="1:256" ht="12.75" customHeight="1" x14ac:dyDescent="0.2">
      <c r="A37" s="80" t="s">
        <v>208</v>
      </c>
      <c r="B37" s="155" t="s">
        <v>207</v>
      </c>
      <c r="C37" s="156"/>
      <c r="D37" s="155"/>
      <c r="E37" s="157"/>
      <c r="F37" s="157"/>
      <c r="G37" s="156"/>
      <c r="H37" s="81" t="s">
        <v>279</v>
      </c>
      <c r="I37" s="82">
        <f>ROUND(I36*20%,2)</f>
        <v>11548.92</v>
      </c>
    </row>
    <row r="38" spans="1:256" ht="12.75" customHeight="1" x14ac:dyDescent="0.2">
      <c r="A38" s="80" t="s">
        <v>229</v>
      </c>
      <c r="B38" s="152" t="s">
        <v>85</v>
      </c>
      <c r="C38" s="153"/>
      <c r="D38" s="152"/>
      <c r="E38" s="154"/>
      <c r="F38" s="154"/>
      <c r="G38" s="153"/>
      <c r="H38" s="83" t="s">
        <v>232</v>
      </c>
      <c r="I38" s="84">
        <f>I36+I37</f>
        <v>69293.516093359998</v>
      </c>
    </row>
    <row r="40" spans="1:256" ht="12.75" customHeight="1" x14ac:dyDescent="0.25">
      <c r="A40" s="52" t="s">
        <v>209</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3.5" customHeight="1" x14ac:dyDescent="0.25">
      <c r="A41" s="1" t="s">
        <v>27</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 customHeight="1" x14ac:dyDescent="0.25">
      <c r="A42" s="1" t="s">
        <v>130</v>
      </c>
      <c r="B42" s="1"/>
      <c r="C42" s="1"/>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8.75" customHeight="1" x14ac:dyDescent="0.25">
      <c r="A43" s="2" t="s">
        <v>28</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row r="44" spans="1:256" ht="17.25" customHeight="1" x14ac:dyDescent="0.25">
      <c r="A44" s="52" t="s">
        <v>275</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sheetData>
  <mergeCells count="48">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5:C35"/>
    <mergeCell ref="D35:G35"/>
    <mergeCell ref="B36:C36"/>
    <mergeCell ref="D36:G36"/>
    <mergeCell ref="B37:C37"/>
    <mergeCell ref="D37:G37"/>
    <mergeCell ref="B38:C38"/>
    <mergeCell ref="D38:G38"/>
    <mergeCell ref="B34:C34"/>
    <mergeCell ref="D34:G34"/>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4" zoomScaleNormal="100" workbookViewId="0">
      <selection activeCell="C7" sqref="A3:C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0</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46</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47</v>
      </c>
      <c r="C17" s="11" t="s">
        <v>48</v>
      </c>
      <c r="D17" s="12" t="s">
        <v>49</v>
      </c>
      <c r="E17" s="13">
        <f>866.01*2.4*1.2*0.805*3.99</f>
        <v>8010.9527601600012</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960.69527601600021</v>
      </c>
      <c r="E19" s="17">
        <f>D19</f>
        <v>960.69527601600021</v>
      </c>
    </row>
    <row r="20" spans="1:5" ht="48" customHeight="1" x14ac:dyDescent="0.25">
      <c r="A20" s="10">
        <v>4</v>
      </c>
      <c r="B20" s="12" t="s">
        <v>22</v>
      </c>
      <c r="C20" s="15"/>
      <c r="D20" s="16"/>
      <c r="E20" s="17">
        <v>5076.76</v>
      </c>
    </row>
    <row r="21" spans="1:5" ht="48" customHeight="1" x14ac:dyDescent="0.25">
      <c r="A21" s="10">
        <v>5</v>
      </c>
      <c r="B21" s="12" t="s">
        <v>23</v>
      </c>
      <c r="C21" s="15"/>
      <c r="D21" s="16"/>
      <c r="E21" s="17">
        <v>20914.38</v>
      </c>
    </row>
    <row r="22" spans="1:5" x14ac:dyDescent="0.25">
      <c r="A22" s="18"/>
      <c r="B22" s="19" t="s">
        <v>24</v>
      </c>
      <c r="C22" s="15"/>
      <c r="D22" s="15"/>
      <c r="E22" s="17">
        <f>E21+E20+E19+E18+E17</f>
        <v>36558.788036175996</v>
      </c>
    </row>
    <row r="23" spans="1:5" x14ac:dyDescent="0.25">
      <c r="A23" s="18"/>
      <c r="B23" s="19" t="s">
        <v>25</v>
      </c>
      <c r="C23" s="15"/>
      <c r="D23" s="15"/>
      <c r="E23" s="17">
        <f>ROUND(E22*18%,2)</f>
        <v>6580.58</v>
      </c>
    </row>
    <row r="24" spans="1:5" x14ac:dyDescent="0.25">
      <c r="A24" s="18"/>
      <c r="B24" s="19" t="s">
        <v>26</v>
      </c>
      <c r="C24" s="15"/>
      <c r="D24" s="15"/>
      <c r="E24" s="17">
        <f>E22+E23</f>
        <v>43139.368036175998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7" zoomScaleNormal="100" workbookViewId="0">
      <selection activeCell="E21" sqref="E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0</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50</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51</v>
      </c>
      <c r="C17" s="11" t="s">
        <v>52</v>
      </c>
      <c r="D17" s="12" t="s">
        <v>53</v>
      </c>
      <c r="E17" s="13">
        <f>3524.49*2.4*1.2*0.805*3.99</f>
        <v>32602.998687840001</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3419.8998687840003</v>
      </c>
      <c r="E19" s="17">
        <f>D19</f>
        <v>3419.8998687840003</v>
      </c>
    </row>
    <row r="20" spans="1:5" ht="48" customHeight="1" x14ac:dyDescent="0.25">
      <c r="A20" s="10">
        <v>4</v>
      </c>
      <c r="B20" s="12" t="s">
        <v>22</v>
      </c>
      <c r="C20" s="15"/>
      <c r="D20" s="16"/>
      <c r="E20" s="17">
        <v>5000</v>
      </c>
    </row>
    <row r="21" spans="1:5" ht="48" customHeight="1" x14ac:dyDescent="0.25">
      <c r="A21" s="10">
        <v>5</v>
      </c>
      <c r="B21" s="12" t="s">
        <v>23</v>
      </c>
      <c r="C21" s="15"/>
      <c r="D21" s="16"/>
      <c r="E21" s="17">
        <v>54051</v>
      </c>
    </row>
    <row r="22" spans="1:5" x14ac:dyDescent="0.25">
      <c r="A22" s="18"/>
      <c r="B22" s="19" t="s">
        <v>24</v>
      </c>
      <c r="C22" s="15"/>
      <c r="D22" s="15"/>
      <c r="E22" s="17">
        <f>E21+E20+E19+E18+E17</f>
        <v>96669.898556624001</v>
      </c>
    </row>
    <row r="23" spans="1:5" x14ac:dyDescent="0.25">
      <c r="A23" s="18"/>
      <c r="B23" s="19" t="s">
        <v>25</v>
      </c>
      <c r="C23" s="15"/>
      <c r="D23" s="15"/>
      <c r="E23" s="17">
        <f>ROUND(E22*18%,2)</f>
        <v>17400.580000000002</v>
      </c>
    </row>
    <row r="24" spans="1:5" x14ac:dyDescent="0.25">
      <c r="A24" s="18"/>
      <c r="B24" s="19" t="s">
        <v>26</v>
      </c>
      <c r="C24" s="15"/>
      <c r="D24" s="15"/>
      <c r="E24" s="17">
        <f>E22+E23</f>
        <v>114070.478556624</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8" zoomScaleNormal="100" workbookViewId="0">
      <selection activeCell="C16" sqref="C1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56</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57</v>
      </c>
      <c r="C17" s="11" t="s">
        <v>58</v>
      </c>
      <c r="D17" s="12" t="s">
        <v>59</v>
      </c>
      <c r="E17" s="13">
        <f>25678.75*2.4*1.2*0.805*3.99</f>
        <v>237539.11986000004</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23913.511986000005</v>
      </c>
      <c r="E19" s="17">
        <f>D19</f>
        <v>23913.511986000005</v>
      </c>
    </row>
    <row r="20" spans="1:5" ht="48" customHeight="1" x14ac:dyDescent="0.25">
      <c r="A20" s="10">
        <v>4</v>
      </c>
      <c r="B20" s="12" t="s">
        <v>22</v>
      </c>
      <c r="C20" s="15"/>
      <c r="D20" s="16"/>
      <c r="E20" s="17">
        <v>58000</v>
      </c>
    </row>
    <row r="21" spans="1:5" ht="48" customHeight="1" x14ac:dyDescent="0.25">
      <c r="A21" s="10">
        <v>5</v>
      </c>
      <c r="B21" s="12" t="s">
        <v>23</v>
      </c>
      <c r="C21" s="15"/>
      <c r="D21" s="16"/>
      <c r="E21" s="17">
        <v>27451</v>
      </c>
    </row>
    <row r="22" spans="1:5" x14ac:dyDescent="0.25">
      <c r="A22" s="18"/>
      <c r="B22" s="19" t="s">
        <v>24</v>
      </c>
      <c r="C22" s="15"/>
      <c r="D22" s="15"/>
      <c r="E22" s="17">
        <f>E21+E20+E19+E18+E17</f>
        <v>348499.63184600003</v>
      </c>
    </row>
    <row r="23" spans="1:5" x14ac:dyDescent="0.25">
      <c r="A23" s="18"/>
      <c r="B23" s="19" t="s">
        <v>25</v>
      </c>
      <c r="C23" s="15"/>
      <c r="D23" s="15"/>
      <c r="E23" s="17">
        <f>ROUND(E22*18%,2)</f>
        <v>62729.93</v>
      </c>
    </row>
    <row r="24" spans="1:5" x14ac:dyDescent="0.25">
      <c r="A24" s="18"/>
      <c r="B24" s="19" t="s">
        <v>26</v>
      </c>
      <c r="C24" s="15"/>
      <c r="D24" s="15"/>
      <c r="E24" s="17">
        <f>E22+E23</f>
        <v>411229.56184600003</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zoomScaleNormal="100" workbookViewId="0">
      <selection activeCell="E36" sqref="E3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56</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88</v>
      </c>
      <c r="D16" s="9" t="s">
        <v>87</v>
      </c>
      <c r="E16" s="9" t="s">
        <v>16</v>
      </c>
    </row>
    <row r="17" spans="1:5" ht="205.5" customHeight="1" x14ac:dyDescent="0.25">
      <c r="A17" s="10">
        <v>1</v>
      </c>
      <c r="B17" s="11" t="s">
        <v>60</v>
      </c>
      <c r="C17" s="11" t="s">
        <v>61</v>
      </c>
      <c r="D17" s="12" t="s">
        <v>62</v>
      </c>
      <c r="E17" s="13">
        <v>278643.74</v>
      </c>
    </row>
    <row r="18" spans="1:5" ht="17.25" customHeight="1" x14ac:dyDescent="0.25">
      <c r="A18" s="10"/>
      <c r="B18" s="14" t="s">
        <v>63</v>
      </c>
      <c r="C18" s="12"/>
      <c r="D18" s="12"/>
      <c r="E18" s="13"/>
    </row>
    <row r="19" spans="1:5" ht="13.5" customHeight="1" x14ac:dyDescent="0.25">
      <c r="A19" s="10"/>
      <c r="B19" s="12" t="s">
        <v>64</v>
      </c>
      <c r="C19" s="15" t="s">
        <v>65</v>
      </c>
      <c r="D19" s="16"/>
      <c r="E19" s="17"/>
    </row>
    <row r="20" spans="1:5" ht="45.75" customHeight="1" x14ac:dyDescent="0.25">
      <c r="A20" s="10"/>
      <c r="B20" s="12"/>
      <c r="C20" s="24" t="s">
        <v>66</v>
      </c>
      <c r="D20" s="16"/>
      <c r="E20" s="17"/>
    </row>
    <row r="21" spans="1:5" ht="31.5" customHeight="1" x14ac:dyDescent="0.25">
      <c r="A21" s="10"/>
      <c r="B21" s="12"/>
      <c r="C21" s="24" t="s">
        <v>67</v>
      </c>
      <c r="D21" s="16"/>
      <c r="E21" s="17"/>
    </row>
    <row r="22" spans="1:5" ht="29.25" customHeight="1" x14ac:dyDescent="0.25">
      <c r="A22" s="10"/>
      <c r="B22" s="12"/>
      <c r="C22" s="24" t="s">
        <v>68</v>
      </c>
      <c r="D22" s="16"/>
      <c r="E22" s="17"/>
    </row>
    <row r="23" spans="1:5" ht="18" customHeight="1" x14ac:dyDescent="0.25">
      <c r="A23" s="10"/>
      <c r="B23" s="12" t="s">
        <v>69</v>
      </c>
      <c r="C23" s="15"/>
      <c r="D23" s="16" t="s">
        <v>70</v>
      </c>
      <c r="E23" s="17"/>
    </row>
    <row r="24" spans="1:5" ht="170.25" customHeight="1" x14ac:dyDescent="0.25">
      <c r="A24" s="10">
        <v>2</v>
      </c>
      <c r="B24" s="12" t="s">
        <v>71</v>
      </c>
      <c r="C24" s="24" t="s">
        <v>72</v>
      </c>
      <c r="D24" s="25" t="s">
        <v>73</v>
      </c>
      <c r="E24" s="17">
        <v>1596</v>
      </c>
    </row>
    <row r="25" spans="1:5" ht="18" customHeight="1" x14ac:dyDescent="0.25">
      <c r="A25" s="10"/>
      <c r="B25" s="12" t="s">
        <v>63</v>
      </c>
      <c r="C25" s="24"/>
      <c r="D25" s="25"/>
      <c r="E25" s="17"/>
    </row>
    <row r="26" spans="1:5" ht="18" customHeight="1" x14ac:dyDescent="0.25">
      <c r="A26" s="10"/>
      <c r="B26" s="12" t="s">
        <v>64</v>
      </c>
      <c r="C26" s="24" t="s">
        <v>74</v>
      </c>
      <c r="D26" s="25"/>
      <c r="E26" s="17"/>
    </row>
    <row r="27" spans="1:5" ht="45" customHeight="1" x14ac:dyDescent="0.25">
      <c r="A27" s="10"/>
      <c r="B27" s="12"/>
      <c r="C27" s="24" t="s">
        <v>66</v>
      </c>
      <c r="D27" s="25"/>
      <c r="E27" s="17"/>
    </row>
    <row r="28" spans="1:5" ht="48" customHeight="1" x14ac:dyDescent="0.25">
      <c r="A28" s="10"/>
      <c r="B28" s="12" t="s">
        <v>69</v>
      </c>
      <c r="C28" s="15"/>
      <c r="D28" s="16" t="s">
        <v>75</v>
      </c>
      <c r="E28" s="17"/>
    </row>
    <row r="29" spans="1:5" ht="17.25" customHeight="1" x14ac:dyDescent="0.25">
      <c r="A29" s="10">
        <v>3</v>
      </c>
      <c r="B29" s="12" t="s">
        <v>76</v>
      </c>
      <c r="C29" s="15"/>
      <c r="D29" s="16"/>
      <c r="E29" s="17">
        <v>280239.74</v>
      </c>
    </row>
    <row r="30" spans="1:5" ht="17.25" customHeight="1" x14ac:dyDescent="0.25">
      <c r="A30" s="10">
        <v>4</v>
      </c>
      <c r="B30" s="12" t="s">
        <v>77</v>
      </c>
      <c r="C30" s="15"/>
      <c r="D30" s="16" t="s">
        <v>78</v>
      </c>
      <c r="E30" s="17">
        <v>28023.97</v>
      </c>
    </row>
    <row r="31" spans="1:5" ht="31.5" x14ac:dyDescent="0.25">
      <c r="A31" s="28">
        <v>5</v>
      </c>
      <c r="B31" s="12" t="s">
        <v>23</v>
      </c>
      <c r="C31" s="15"/>
      <c r="D31" s="15" t="s">
        <v>79</v>
      </c>
      <c r="E31" s="17">
        <v>27451</v>
      </c>
    </row>
    <row r="32" spans="1:5" ht="33" customHeight="1" x14ac:dyDescent="0.25">
      <c r="A32" s="28">
        <v>6</v>
      </c>
      <c r="B32" s="12" t="s">
        <v>80</v>
      </c>
      <c r="C32" s="29" t="s">
        <v>89</v>
      </c>
      <c r="D32" s="15" t="s">
        <v>79</v>
      </c>
      <c r="E32" s="17">
        <v>12711.86</v>
      </c>
    </row>
    <row r="33" spans="1:5" x14ac:dyDescent="0.25">
      <c r="A33" s="28">
        <v>7</v>
      </c>
      <c r="B33" s="12" t="s">
        <v>81</v>
      </c>
      <c r="C33" s="15"/>
      <c r="D33" s="15" t="s">
        <v>82</v>
      </c>
      <c r="E33" s="17">
        <v>348426.57</v>
      </c>
    </row>
    <row r="34" spans="1:5" x14ac:dyDescent="0.25">
      <c r="A34" s="28">
        <v>8</v>
      </c>
      <c r="B34" s="12" t="s">
        <v>83</v>
      </c>
      <c r="C34" s="15"/>
      <c r="D34" s="15" t="s">
        <v>84</v>
      </c>
      <c r="E34" s="17">
        <v>62716.78</v>
      </c>
    </row>
    <row r="35" spans="1:5" x14ac:dyDescent="0.25">
      <c r="A35" s="28">
        <v>9</v>
      </c>
      <c r="B35" s="19" t="s">
        <v>85</v>
      </c>
      <c r="C35" s="15"/>
      <c r="D35" s="26" t="s">
        <v>86</v>
      </c>
      <c r="E35" s="27">
        <v>411143.35</v>
      </c>
    </row>
    <row r="36" spans="1:5" x14ac:dyDescent="0.25">
      <c r="A36" s="1" t="s">
        <v>2</v>
      </c>
      <c r="B36" s="21"/>
    </row>
    <row r="37" spans="1:5" x14ac:dyDescent="0.25">
      <c r="A37" s="1" t="s">
        <v>27</v>
      </c>
    </row>
    <row r="38" spans="1:5" x14ac:dyDescent="0.25">
      <c r="A38" s="1" t="s">
        <v>31</v>
      </c>
    </row>
    <row r="39" spans="1:5" x14ac:dyDescent="0.25">
      <c r="A39" s="4" t="s">
        <v>28</v>
      </c>
    </row>
    <row r="40" spans="1:5" x14ac:dyDescent="0.25">
      <c r="A40" s="1" t="s">
        <v>29</v>
      </c>
    </row>
    <row r="44" spans="1:5" x14ac:dyDescent="0.25">
      <c r="E4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E24" sqref="E24"/>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90</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91</v>
      </c>
      <c r="C17" s="11" t="s">
        <v>92</v>
      </c>
      <c r="D17" s="12" t="s">
        <v>93</v>
      </c>
      <c r="E17" s="13">
        <f>1491.62*2.4*1.2*0.805*3.99</f>
        <v>13798.10551392</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1539.4105513920001</v>
      </c>
      <c r="E19" s="17">
        <f>D19</f>
        <v>1539.4105513920001</v>
      </c>
    </row>
    <row r="20" spans="1:5" ht="48" customHeight="1" x14ac:dyDescent="0.25">
      <c r="A20" s="10">
        <v>4</v>
      </c>
      <c r="B20" s="12" t="s">
        <v>23</v>
      </c>
      <c r="C20" s="15"/>
      <c r="D20" s="16"/>
      <c r="E20" s="17">
        <v>41179</v>
      </c>
    </row>
    <row r="21" spans="1:5" x14ac:dyDescent="0.25">
      <c r="A21" s="18"/>
      <c r="B21" s="19" t="s">
        <v>24</v>
      </c>
      <c r="C21" s="15"/>
      <c r="D21" s="15"/>
      <c r="E21" s="17">
        <f>E20+E19+E18+E17</f>
        <v>58112.516065311996</v>
      </c>
    </row>
    <row r="22" spans="1:5" x14ac:dyDescent="0.25">
      <c r="A22" s="18"/>
      <c r="B22" s="19" t="s">
        <v>25</v>
      </c>
      <c r="C22" s="15"/>
      <c r="D22" s="15"/>
      <c r="E22" s="17">
        <f>ROUND(E21*18%,2)</f>
        <v>10460.25</v>
      </c>
    </row>
    <row r="23" spans="1:5" x14ac:dyDescent="0.25">
      <c r="A23" s="18"/>
      <c r="B23" s="19" t="s">
        <v>26</v>
      </c>
      <c r="C23" s="15"/>
      <c r="D23" s="15"/>
      <c r="E23" s="17">
        <f>E21+E22</f>
        <v>68572.766065311996</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E24" sqref="E24"/>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16" t="s">
        <v>55</v>
      </c>
      <c r="C1" s="116"/>
      <c r="D1" s="116"/>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17" t="s">
        <v>10</v>
      </c>
      <c r="B10" s="117"/>
      <c r="C10" s="117"/>
      <c r="D10" s="117"/>
      <c r="E10" s="117"/>
    </row>
    <row r="11" spans="1:5" x14ac:dyDescent="0.25">
      <c r="C11" s="7" t="s">
        <v>11</v>
      </c>
    </row>
    <row r="12" spans="1:5" x14ac:dyDescent="0.25">
      <c r="C12" s="7"/>
    </row>
    <row r="13" spans="1:5" ht="33" customHeight="1" x14ac:dyDescent="0.25">
      <c r="A13" s="118" t="s">
        <v>94</v>
      </c>
      <c r="B13" s="118"/>
      <c r="C13" s="118"/>
      <c r="D13" s="118"/>
      <c r="E13" s="118"/>
    </row>
    <row r="14" spans="1:5" ht="0.75" customHeight="1" x14ac:dyDescent="0.25">
      <c r="A14" s="118"/>
      <c r="B14" s="118"/>
      <c r="C14" s="118"/>
      <c r="D14" s="118"/>
      <c r="E14" s="118"/>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95</v>
      </c>
      <c r="C17" s="11" t="s">
        <v>96</v>
      </c>
      <c r="D17" s="12" t="s">
        <v>97</v>
      </c>
      <c r="E17" s="13">
        <f>6900.78*2.4*1.2*0.805*3.99</f>
        <v>63835.085724480006</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6543.1085724480008</v>
      </c>
      <c r="E19" s="17">
        <f>D19</f>
        <v>6543.1085724480008</v>
      </c>
    </row>
    <row r="20" spans="1:5" ht="48" customHeight="1" x14ac:dyDescent="0.25">
      <c r="A20" s="10">
        <v>4</v>
      </c>
      <c r="B20" s="12" t="s">
        <v>22</v>
      </c>
      <c r="C20" s="15"/>
      <c r="D20" s="16"/>
      <c r="E20" s="17">
        <v>12711.86</v>
      </c>
    </row>
    <row r="21" spans="1:5" ht="48" customHeight="1" x14ac:dyDescent="0.25">
      <c r="A21" s="10">
        <v>5</v>
      </c>
      <c r="B21" s="12" t="s">
        <v>23</v>
      </c>
      <c r="C21" s="15"/>
      <c r="D21" s="16"/>
      <c r="E21" s="17">
        <v>68167</v>
      </c>
    </row>
    <row r="22" spans="1:5" x14ac:dyDescent="0.25">
      <c r="A22" s="18"/>
      <c r="B22" s="19" t="s">
        <v>24</v>
      </c>
      <c r="C22" s="15"/>
      <c r="D22" s="15"/>
      <c r="E22" s="17">
        <f>E21+E20+E19+E18+E17</f>
        <v>152853.05429692802</v>
      </c>
    </row>
    <row r="23" spans="1:5" x14ac:dyDescent="0.25">
      <c r="A23" s="18"/>
      <c r="B23" s="19" t="s">
        <v>25</v>
      </c>
      <c r="C23" s="15"/>
      <c r="D23" s="15"/>
      <c r="E23" s="17">
        <f>ROUND(E22*18%,2)</f>
        <v>27513.55</v>
      </c>
    </row>
    <row r="24" spans="1:5" x14ac:dyDescent="0.25">
      <c r="A24" s="18"/>
      <c r="B24" s="19" t="s">
        <v>26</v>
      </c>
      <c r="C24" s="15"/>
      <c r="D24" s="15"/>
      <c r="E24" s="17">
        <f>E22+E23</f>
        <v>180366.60429692801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33</vt:i4>
      </vt:variant>
    </vt:vector>
  </HeadingPairs>
  <TitlesOfParts>
    <vt:vector size="33" baseType="lpstr">
      <vt:lpstr>ВЛ ТП 114 - Гущина Р.Н.</vt:lpstr>
      <vt:lpstr>ВЛ ТП 229 - Алексеев МВ</vt:lpstr>
      <vt:lpstr>ВЛ ТП 738 - Бирюков А.С.</vt:lpstr>
      <vt:lpstr>ВЛ ТП 746 - Сизова Н.А.</vt:lpstr>
      <vt:lpstr>ВЛ ТП 839 - Гусейнов А.С.</vt:lpstr>
      <vt:lpstr>ВЛ РП-Горный Реконст.</vt:lpstr>
      <vt:lpstr>ВЛ РП-Горный Реконст. (2)</vt:lpstr>
      <vt:lpstr>ВЛ ТП 947 - Гнедова Н.А.</vt:lpstr>
      <vt:lpstr>ВЛ ТП 657 - Коротков А.Е.</vt:lpstr>
      <vt:lpstr>ВЛ ТП 168 - Глухова Л.А.</vt:lpstr>
      <vt:lpstr>ВЛ ТП 738 - Бабенко А.В.</vt:lpstr>
      <vt:lpstr>ВЛ ТП 839 - Мухаметшин С.С.</vt:lpstr>
      <vt:lpstr>ВЛ ТП 1106 - Петросян А.А.</vt:lpstr>
      <vt:lpstr>ВЛ ТП 464 - Акберов Х.А.</vt:lpstr>
      <vt:lpstr>ВЛ ТП 1106 - ООО Меркурий-Н</vt:lpstr>
      <vt:lpstr>ВЛ ТП 590 - Заико К.В.</vt:lpstr>
      <vt:lpstr>ВЛ0,4-ТП-738 КЛ выв.Маркин О.И </vt:lpstr>
      <vt:lpstr>ВЛ ТП 1115-ООО Геотраст</vt:lpstr>
      <vt:lpstr>ВЛ ТП 323 - Коваленко А.Л.</vt:lpstr>
      <vt:lpstr>ВЛ КТП 748 - Гологурская Р.Г.</vt:lpstr>
      <vt:lpstr>ВЛ ТП 353 - Белобородов Д.Л.</vt:lpstr>
      <vt:lpstr>ВЛ РП-Юбилейный- Погосян А.Н.</vt:lpstr>
      <vt:lpstr>ВЛ КТП-997- Чистоколов С.П.</vt:lpstr>
      <vt:lpstr>ВЛ ТП-177- Чеснокова А.В.</vt:lpstr>
      <vt:lpstr>ВЛ КТП-787- Булатова Т.Р.</vt:lpstr>
      <vt:lpstr>ТП 69 ВЛ и КЛ Умроян</vt:lpstr>
      <vt:lpstr>ТП 1486 ВЛ и КЛ Иманов В.Ш.</vt:lpstr>
      <vt:lpstr>ВЛ ТП-564- Корниенко В.А.</vt:lpstr>
      <vt:lpstr>ВЛ ТП-347- Барулин А.Н</vt:lpstr>
      <vt:lpstr>ВЛ КТП-946- Морозова Ю.К.</vt:lpstr>
      <vt:lpstr>ВЛ ТП-447ФГБУРос.сельскохо.цент</vt:lpstr>
      <vt:lpstr>ВЛ ТП-206- Гусейнов Р.Э</vt:lpstr>
      <vt:lpstr>ВЛ-0,4 РП-Нагорный,т.пр.Доненко</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171</dc:creator>
  <cp:lastModifiedBy>Лоскуткина Светлана Денисовна</cp:lastModifiedBy>
  <cp:lastPrinted>2019-01-15T06:33:23Z</cp:lastPrinted>
  <dcterms:created xsi:type="dcterms:W3CDTF">2017-09-27T10:49:56Z</dcterms:created>
  <dcterms:modified xsi:type="dcterms:W3CDTF">2019-01-15T12:00:25Z</dcterms:modified>
</cp:coreProperties>
</file>