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240" yWindow="60" windowWidth="19440" windowHeight="12345" firstSheet="69" activeTab="69"/>
  </bookViews>
  <sheets>
    <sheet name="ВЛ ТП 114 - Гущина Р.Н." sheetId="1" r:id="rId1"/>
    <sheet name="ВЛ ТП 229 - Алексеев МВ" sheetId="3" r:id="rId2"/>
    <sheet name="ВЛ ТП 738 - Бирюков А.С." sheetId="4" r:id="rId3"/>
    <sheet name="ВЛ ТП 746 - Сизова Н.А." sheetId="5" r:id="rId4"/>
    <sheet name="ВЛ ТП 839 - Гусейнов А.С." sheetId="6" r:id="rId5"/>
    <sheet name="ВЛ РП-Горный Реконст." sheetId="7" r:id="rId6"/>
    <sheet name="ВЛ РП-Горный Реконст. (2)" sheetId="8" r:id="rId7"/>
    <sheet name="ВЛ ТП 947 - Гнедова Н.А." sheetId="9" r:id="rId8"/>
    <sheet name="ВЛ ТП 657 - Коротков А.Е." sheetId="10" r:id="rId9"/>
    <sheet name="ВЛ ТП 168 - Глухова Л.А." sheetId="11" r:id="rId10"/>
    <sheet name="ВЛ ТП 738 - Бабенко А.В." sheetId="12" r:id="rId11"/>
    <sheet name="ВЛ ТП 839 - Мухаметшин С.С." sheetId="13" r:id="rId12"/>
    <sheet name="ВЛ ТП 1106 - Петросян А.А." sheetId="14" r:id="rId13"/>
    <sheet name="ВЛ ТП 464 - Акберов Х.А." sheetId="15" r:id="rId14"/>
    <sheet name="ВЛ ТП 1106 - ООО Меркурий-Н" sheetId="16" r:id="rId15"/>
    <sheet name="ВЛ ТП 590 - Заико К.В." sheetId="17" r:id="rId16"/>
    <sheet name="ВЛ0,4-ТП-738 КЛ выв.Маркин О.И " sheetId="18" r:id="rId17"/>
    <sheet name="ВЛ ТП 1115-ООО Геотраст" sheetId="19" r:id="rId18"/>
    <sheet name="ВЛ ТП 323 - Коваленко А.Л." sheetId="20" r:id="rId19"/>
    <sheet name="ВЛ КТП 748 - Гологурская Р.Г." sheetId="21" r:id="rId20"/>
    <sheet name="ВЛ ТП 353 - Белобородов Д.Л." sheetId="22" r:id="rId21"/>
    <sheet name="ВЛ РП-Юбилейный- Погосян А.Н." sheetId="23" r:id="rId22"/>
    <sheet name="ВЛ КТП-997- Чистоколов С.П." sheetId="24" r:id="rId23"/>
    <sheet name="ВЛ ТП-177- Чеснокова А.В." sheetId="25" r:id="rId24"/>
    <sheet name="ВЛ КТП-787- Булатова Т.Р." sheetId="26" r:id="rId25"/>
    <sheet name="ТП 69 ВЛ и КЛ Умроян" sheetId="27" r:id="rId26"/>
    <sheet name="ТП 1486 ВЛ и КЛ Иманов В.Ш." sheetId="28" r:id="rId27"/>
    <sheet name="ВЛ ТП-564- Корниенко В.А." sheetId="29" r:id="rId28"/>
    <sheet name="ВЛ ТП-347- Барулин А.Н" sheetId="30" r:id="rId29"/>
    <sheet name="ВЛ КТП-946- Морозова Ю.К." sheetId="31" r:id="rId30"/>
    <sheet name="ВЛ ТП-447ФГБУРос.сельскохо.цент" sheetId="32" r:id="rId31"/>
    <sheet name="ВЛ ТП-206- Гусейнов Р.Э" sheetId="33" r:id="rId32"/>
    <sheet name="ВЛ-0,4 РП-Нагорный,т.пр.Доненко" sheetId="34" r:id="rId33"/>
    <sheet name="ВЛ ТП-1435 Гришин А.В." sheetId="35" r:id="rId34"/>
    <sheet name="Рек. ВЛ-0,4 ТП-1140" sheetId="36" r:id="rId35"/>
    <sheet name="ВЛ ТП-736 Карпова Л.Д." sheetId="37" r:id="rId36"/>
    <sheet name="ВЛ ТП-1471 Василенко И.О." sheetId="38" r:id="rId37"/>
    <sheet name="ВЛ РП-Поливановский Якунин А.В." sheetId="39" r:id="rId38"/>
    <sheet name="ВЛ ТП-725 Дмитриева О.М." sheetId="40" r:id="rId39"/>
    <sheet name="ВЛ ТП-729 Ларин В.С" sheetId="41" r:id="rId40"/>
    <sheet name="ВЛ ТП-227 Шалашова М.Л" sheetId="42" r:id="rId41"/>
    <sheet name="ВЛ ТП-217 Пухлов О.Л." sheetId="43" r:id="rId42"/>
    <sheet name="ВЛ ТП-191 Мошкунова Т.В." sheetId="44" r:id="rId43"/>
    <sheet name="ВЛ ТП-550 Востренкова В.А." sheetId="45" r:id="rId44"/>
    <sheet name="Рек. ВЛ РП-Комсомольский" sheetId="46" r:id="rId45"/>
    <sheet name="ВЛ ТП-1471 Тишкова А.С." sheetId="47" r:id="rId46"/>
    <sheet name="ВЛ-0,4ТП-1332ГСК Люфт-1(Шуваки)" sheetId="48" r:id="rId47"/>
    <sheet name="ВЛ ТП-160 Сиетова А.Ю." sheetId="49" r:id="rId48"/>
    <sheet name="ВЛ-0,4+КЛ-0,4кВ ТП-725 Графов" sheetId="50" r:id="rId49"/>
    <sheet name="ВЛ Рек.ТП-1371 Саркисян Н.Э." sheetId="51" r:id="rId50"/>
    <sheet name="ВЛ КТП-787 Хвостов К.Г." sheetId="52" r:id="rId51"/>
    <sheet name="ВЛ РП-Питомник,т.п.Кулагина И.В" sheetId="53" r:id="rId52"/>
    <sheet name="ВЛ ТП-1427 Романов А.В." sheetId="54" r:id="rId53"/>
    <sheet name="ВЛ ТП-616 Шиляева,Стексова,Степ" sheetId="55" r:id="rId54"/>
    <sheet name="ВЛ ТП-193 Бордюгов Н.И." sheetId="56" r:id="rId55"/>
    <sheet name="ВЛ Рек.ТП-1426 Шальнев Е.С." sheetId="57" r:id="rId56"/>
    <sheet name="ВЛ ТП-1471 Пенюкова Е.С." sheetId="58" r:id="rId57"/>
    <sheet name="ВЛ КТП-690 Феоктистова Ю.А." sheetId="59" r:id="rId58"/>
    <sheet name="ВЛ ТП-322 Давыденко А.В." sheetId="60" r:id="rId59"/>
    <sheet name="ВЛ ТП-1358 Захаров А.В." sheetId="61" r:id="rId60"/>
    <sheet name="ВЛ РП-Кардан Шашкова Т.М." sheetId="62" r:id="rId61"/>
    <sheet name="ВЛ ТП-110 Медведев И.М." sheetId="63" r:id="rId62"/>
    <sheet name="ВЛ ТП-1121 Синяев А.А." sheetId="64" r:id="rId63"/>
    <sheet name="ВЛ ТП-568 Журавлева Е.И." sheetId="65" r:id="rId64"/>
    <sheet name="ВЛ ТП-1033 Логинов С.Г." sheetId="66" r:id="rId65"/>
    <sheet name="ВЛ ТП-1471 Антонова Л.М." sheetId="67" r:id="rId66"/>
    <sheet name="ВЛ ТП-562 Шпак М.М" sheetId="68" r:id="rId67"/>
    <sheet name="ВЛ ТП-110 Прохожай А.Н." sheetId="69" r:id="rId68"/>
    <sheet name="РекВЛ-0,4КЛ-0,4кВ ТП-44" sheetId="70" r:id="rId69"/>
    <sheet name="ВЛ ТП-1010 Рек" sheetId="71" r:id="rId70"/>
    <sheet name="Рек ВЛ-0,4КЛ-0,4кВ ТП-1405" sheetId="72" r:id="rId71"/>
    <sheet name="ВЛ ТП-410 Рек" sheetId="73" r:id="rId72"/>
    <sheet name="ВЛ ТП-997 Баёва О.В." sheetId="74" r:id="rId73"/>
  </sheets>
  <calcPr calcId="145621"/>
</workbook>
</file>

<file path=xl/calcChain.xml><?xml version="1.0" encoding="utf-8"?>
<calcChain xmlns="http://schemas.openxmlformats.org/spreadsheetml/2006/main">
  <c r="E17" i="71" l="1"/>
  <c r="E18" i="74" l="1"/>
  <c r="E17" i="74"/>
  <c r="D19" i="74" l="1"/>
  <c r="E19" i="74" s="1"/>
  <c r="E22" i="74" s="1"/>
  <c r="E23" i="74" s="1"/>
  <c r="E24" i="74" s="1"/>
  <c r="E18" i="73"/>
  <c r="E17" i="73"/>
  <c r="D19" i="73" l="1"/>
  <c r="E19" i="73" s="1"/>
  <c r="E22" i="73" s="1"/>
  <c r="E23" i="73" s="1"/>
  <c r="E24" i="73" s="1"/>
  <c r="I20" i="72"/>
  <c r="I20" i="70"/>
  <c r="E18" i="71" l="1"/>
  <c r="I27" i="72" l="1"/>
  <c r="I19" i="72"/>
  <c r="I27" i="70"/>
  <c r="I19" i="70"/>
  <c r="I32" i="72" l="1"/>
  <c r="I33" i="72" l="1"/>
  <c r="I36" i="72" s="1"/>
  <c r="D19" i="71"/>
  <c r="E19" i="71" s="1"/>
  <c r="E22" i="71" s="1"/>
  <c r="I37" i="72" l="1"/>
  <c r="I38" i="72" s="1"/>
  <c r="E23" i="71"/>
  <c r="E24" i="71" s="1"/>
  <c r="I32" i="70" l="1"/>
  <c r="I33" i="70" l="1"/>
  <c r="I36" i="70" s="1"/>
  <c r="E21" i="69"/>
  <c r="E17" i="69"/>
  <c r="D19" i="69" s="1"/>
  <c r="E19" i="69" s="1"/>
  <c r="E18" i="69"/>
  <c r="I37" i="70" l="1"/>
  <c r="I38" i="70" s="1"/>
  <c r="E22" i="69"/>
  <c r="E23" i="69" s="1"/>
  <c r="E17" i="68"/>
  <c r="D19" i="68" s="1"/>
  <c r="E19" i="68" s="1"/>
  <c r="E20" i="68" s="1"/>
  <c r="E18" i="68"/>
  <c r="E21" i="68" l="1"/>
  <c r="E22" i="68" s="1"/>
  <c r="E17" i="67"/>
  <c r="D19" i="67" s="1"/>
  <c r="E19" i="67" s="1"/>
  <c r="E20" i="67" s="1"/>
  <c r="E18" i="67"/>
  <c r="E21" i="67" l="1"/>
  <c r="E22" i="67" s="1"/>
  <c r="E17" i="66"/>
  <c r="D19" i="66" l="1"/>
  <c r="E19" i="66" s="1"/>
  <c r="E22" i="66" s="1"/>
  <c r="E18" i="66"/>
  <c r="E23" i="66" l="1"/>
  <c r="E24" i="66" s="1"/>
  <c r="E22" i="65"/>
  <c r="E17" i="65"/>
  <c r="D19" i="65" s="1"/>
  <c r="E19" i="65" s="1"/>
  <c r="E18" i="65"/>
  <c r="E23" i="65" l="1"/>
  <c r="E24" i="65" s="1"/>
  <c r="E20" i="64"/>
  <c r="E17" i="64"/>
  <c r="D19" i="64" s="1"/>
  <c r="E19" i="64" s="1"/>
  <c r="E18" i="64"/>
  <c r="E21" i="64" l="1"/>
  <c r="E22" i="64" s="1"/>
  <c r="E17" i="63"/>
  <c r="D19" i="63" s="1"/>
  <c r="E19" i="63" s="1"/>
  <c r="E22" i="63" s="1"/>
  <c r="E18" i="63"/>
  <c r="E23" i="63" l="1"/>
  <c r="E24" i="63" s="1"/>
  <c r="E17" i="62"/>
  <c r="D19" i="62" s="1"/>
  <c r="E19" i="62" s="1"/>
  <c r="E22" i="62" s="1"/>
  <c r="E18" i="62"/>
  <c r="E23" i="62" l="1"/>
  <c r="E24" i="62" s="1"/>
  <c r="E17" i="61"/>
  <c r="D19" i="61" s="1"/>
  <c r="E19" i="61" s="1"/>
  <c r="E22" i="61" s="1"/>
  <c r="E18" i="61"/>
  <c r="E23" i="61" l="1"/>
  <c r="E24" i="61" s="1"/>
  <c r="E18" i="60"/>
  <c r="E17" i="60"/>
  <c r="D19" i="60" l="1"/>
  <c r="E19" i="60" s="1"/>
  <c r="E22" i="60" s="1"/>
  <c r="E23" i="60" s="1"/>
  <c r="E24" i="60" s="1"/>
  <c r="E17" i="59"/>
  <c r="D19" i="59" s="1"/>
  <c r="E19" i="59" s="1"/>
  <c r="E22" i="59" s="1"/>
  <c r="E18" i="59"/>
  <c r="E23" i="59" l="1"/>
  <c r="E24" i="59" s="1"/>
  <c r="E18" i="58"/>
  <c r="E17" i="58"/>
  <c r="D19" i="58" s="1"/>
  <c r="E19" i="58" s="1"/>
  <c r="E22" i="58" s="1"/>
  <c r="E24" i="58" l="1"/>
  <c r="E23" i="58"/>
  <c r="E20" i="57" l="1"/>
  <c r="E17" i="57"/>
  <c r="D19" i="57" s="1"/>
  <c r="E19" i="57" s="1"/>
  <c r="E18" i="57"/>
  <c r="E21" i="57" l="1"/>
  <c r="E22" i="57" s="1"/>
  <c r="E17" i="56"/>
  <c r="D19" i="56" s="1"/>
  <c r="E19" i="56" s="1"/>
  <c r="E22" i="56" s="1"/>
  <c r="E18" i="56"/>
  <c r="E23" i="56" l="1"/>
  <c r="E24" i="56" s="1"/>
  <c r="E18" i="55"/>
  <c r="E17" i="55"/>
  <c r="D19" i="55" s="1"/>
  <c r="E19" i="55" s="1"/>
  <c r="E22" i="55" s="1"/>
  <c r="E23" i="55" l="1"/>
  <c r="E24" i="55" s="1"/>
  <c r="E17" i="54"/>
  <c r="D19" i="54" s="1"/>
  <c r="E19" i="54" s="1"/>
  <c r="E22" i="54" s="1"/>
  <c r="E18" i="54"/>
  <c r="E23" i="54" l="1"/>
  <c r="E24" i="54" s="1"/>
  <c r="E20" i="53"/>
  <c r="E17" i="53"/>
  <c r="D19" i="53" s="1"/>
  <c r="E19" i="53" s="1"/>
  <c r="E18" i="53"/>
  <c r="E21" i="53" l="1"/>
  <c r="E22" i="53" s="1"/>
  <c r="E17" i="52"/>
  <c r="D19" i="52" s="1"/>
  <c r="E19" i="52" s="1"/>
  <c r="E22" i="52" s="1"/>
  <c r="E18" i="52"/>
  <c r="E23" i="52" l="1"/>
  <c r="E24" i="52" s="1"/>
  <c r="E20" i="51"/>
  <c r="E17" i="51"/>
  <c r="E18" i="51" l="1"/>
  <c r="D19" i="51" s="1"/>
  <c r="E19" i="51" s="1"/>
  <c r="E21" i="51" l="1"/>
  <c r="E22" i="51" s="1"/>
  <c r="I27" i="50"/>
  <c r="I20" i="50"/>
  <c r="I19" i="50"/>
  <c r="I32" i="50" l="1"/>
  <c r="I33" i="50" s="1"/>
  <c r="I36" i="50" s="1"/>
  <c r="E18" i="49"/>
  <c r="E17" i="49"/>
  <c r="I37" i="50" l="1"/>
  <c r="I38" i="50" s="1"/>
  <c r="D19" i="49"/>
  <c r="E19" i="49" s="1"/>
  <c r="E22" i="49" s="1"/>
  <c r="I27" i="48"/>
  <c r="E23" i="49" l="1"/>
  <c r="E24" i="49" s="1"/>
  <c r="I19" i="48"/>
  <c r="I20" i="48"/>
  <c r="I32" i="48" l="1"/>
  <c r="I33" i="48" l="1"/>
  <c r="I36" i="48" s="1"/>
  <c r="E17" i="47"/>
  <c r="D19" i="47" s="1"/>
  <c r="E19" i="47" s="1"/>
  <c r="E22" i="47" s="1"/>
  <c r="E18" i="47"/>
  <c r="I37" i="48" l="1"/>
  <c r="I38" i="48" s="1"/>
  <c r="E23" i="47"/>
  <c r="E24" i="47" s="1"/>
  <c r="E20" i="46"/>
  <c r="E17" i="46"/>
  <c r="D19" i="46" s="1"/>
  <c r="E19" i="46" s="1"/>
  <c r="E18" i="46"/>
  <c r="E21" i="46" l="1"/>
  <c r="E22" i="46" s="1"/>
  <c r="E17" i="45"/>
  <c r="D19" i="45" s="1"/>
  <c r="E19" i="45" s="1"/>
  <c r="E22" i="45" s="1"/>
  <c r="E18" i="45"/>
  <c r="E17" i="44"/>
  <c r="D19" i="44" s="1"/>
  <c r="E19" i="44" s="1"/>
  <c r="E22" i="44" s="1"/>
  <c r="E18" i="44"/>
  <c r="E23" i="45" l="1"/>
  <c r="E24" i="45" s="1"/>
  <c r="E23" i="44"/>
  <c r="E24" i="44" s="1"/>
  <c r="E17" i="43"/>
  <c r="D19" i="43" s="1"/>
  <c r="E19" i="43" s="1"/>
  <c r="E22" i="43" s="1"/>
  <c r="E18" i="43"/>
  <c r="E23" i="43" l="1"/>
  <c r="E24" i="43" s="1"/>
  <c r="E17" i="42"/>
  <c r="D19" i="42" s="1"/>
  <c r="E19" i="42" s="1"/>
  <c r="E22" i="42" s="1"/>
  <c r="E18" i="42"/>
  <c r="E23" i="42" l="1"/>
  <c r="E24" i="42" s="1"/>
  <c r="E17" i="41"/>
  <c r="D19" i="41" s="1"/>
  <c r="E19" i="41" s="1"/>
  <c r="E22" i="41" s="1"/>
  <c r="E18" i="41"/>
  <c r="E23" i="41" l="1"/>
  <c r="E24" i="41" s="1"/>
  <c r="E17" i="40"/>
  <c r="D19" i="40" s="1"/>
  <c r="E19" i="40" s="1"/>
  <c r="E22" i="40" s="1"/>
  <c r="E18" i="40"/>
  <c r="E23" i="40" l="1"/>
  <c r="E24" i="40" s="1"/>
  <c r="I26" i="28"/>
  <c r="I19" i="28"/>
  <c r="I18" i="28"/>
  <c r="I31" i="28" s="1"/>
  <c r="I32" i="28" l="1"/>
  <c r="I35" i="28" s="1"/>
  <c r="I36" i="28" l="1"/>
  <c r="I37" i="28" s="1"/>
  <c r="E20" i="39" l="1"/>
  <c r="E17" i="39"/>
  <c r="D19" i="39" s="1"/>
  <c r="E19" i="39" s="1"/>
  <c r="E18" i="39"/>
  <c r="E21" i="39" l="1"/>
  <c r="E22" i="39" s="1"/>
  <c r="E17" i="38"/>
  <c r="D19" i="38" s="1"/>
  <c r="E19" i="38" s="1"/>
  <c r="E22" i="38" s="1"/>
  <c r="E18" i="38"/>
  <c r="E23" i="38" l="1"/>
  <c r="E24" i="38" s="1"/>
  <c r="E17" i="37"/>
  <c r="D19" i="37" s="1"/>
  <c r="E19" i="37" s="1"/>
  <c r="E22" i="37" s="1"/>
  <c r="E18" i="37"/>
  <c r="E23" i="37" l="1"/>
  <c r="E24" i="37" s="1"/>
  <c r="I19" i="36"/>
  <c r="I20" i="36"/>
  <c r="I27" i="36" l="1"/>
  <c r="I32" i="36"/>
  <c r="I33" i="36" l="1"/>
  <c r="I36" i="36" s="1"/>
  <c r="E22" i="35"/>
  <c r="E17" i="35"/>
  <c r="E18" i="35"/>
  <c r="D19" i="35"/>
  <c r="E19" i="35" s="1"/>
  <c r="I37" i="36" l="1"/>
  <c r="I38" i="36" s="1"/>
  <c r="E23" i="35"/>
  <c r="E24" i="35" s="1"/>
  <c r="E23" i="30"/>
  <c r="I36" i="34" l="1"/>
  <c r="I20" i="34"/>
  <c r="I19" i="34"/>
  <c r="I27" i="34" l="1"/>
  <c r="I32" i="34"/>
  <c r="I33" i="34" l="1"/>
  <c r="I37" i="34" l="1"/>
  <c r="I38" i="34" s="1"/>
  <c r="E18" i="33" l="1"/>
  <c r="E17" i="33"/>
  <c r="D19" i="33" l="1"/>
  <c r="E19" i="33" s="1"/>
  <c r="E22" i="33" s="1"/>
  <c r="E23" i="33" s="1"/>
  <c r="E24" i="33" s="1"/>
  <c r="E22" i="32"/>
  <c r="E21" i="32"/>
  <c r="E20" i="32"/>
  <c r="E17" i="32"/>
  <c r="D19" i="32" s="1"/>
  <c r="E19" i="32" s="1"/>
  <c r="E18" i="32"/>
  <c r="E23" i="31" l="1"/>
  <c r="E17" i="31"/>
  <c r="E18" i="31" l="1"/>
  <c r="D19" i="31"/>
  <c r="E19" i="31" s="1"/>
  <c r="E22" i="31" s="1"/>
  <c r="E24" i="31" l="1"/>
  <c r="E17" i="30"/>
  <c r="E18" i="30"/>
  <c r="E17" i="29"/>
  <c r="D19" i="29" s="1"/>
  <c r="E19" i="29" s="1"/>
  <c r="E22" i="29" s="1"/>
  <c r="E18" i="29"/>
  <c r="D19" i="30" l="1"/>
  <c r="E19" i="30" s="1"/>
  <c r="E22" i="30" s="1"/>
  <c r="E24" i="30"/>
  <c r="E23" i="29"/>
  <c r="E24" i="29" s="1"/>
  <c r="I37" i="27" l="1"/>
  <c r="I25" i="27"/>
  <c r="I32" i="27" l="1"/>
  <c r="I18" i="27"/>
  <c r="I17" i="27" l="1"/>
  <c r="I38" i="27" s="1"/>
  <c r="H8" i="27"/>
  <c r="I40" i="27" l="1"/>
  <c r="I41" i="27" l="1"/>
  <c r="I42" i="27" s="1"/>
  <c r="E16" i="26"/>
  <c r="D18" i="26" s="1"/>
  <c r="E18" i="26" s="1"/>
  <c r="E21" i="26" s="1"/>
  <c r="E17" i="26"/>
  <c r="D8" i="26"/>
  <c r="E22" i="26" l="1"/>
  <c r="E23" i="26" s="1"/>
  <c r="E16" i="25"/>
  <c r="D18" i="25" s="1"/>
  <c r="E18" i="25" s="1"/>
  <c r="E21" i="25" s="1"/>
  <c r="E17" i="25"/>
  <c r="D8" i="25"/>
  <c r="E22" i="25" l="1"/>
  <c r="E23" i="25" s="1"/>
  <c r="E17" i="24"/>
  <c r="E16" i="24"/>
  <c r="D8" i="24"/>
  <c r="D18" i="24" l="1"/>
  <c r="E18" i="24" s="1"/>
  <c r="E21" i="24" s="1"/>
  <c r="E22" i="24" s="1"/>
  <c r="E23" i="24" s="1"/>
  <c r="E17" i="22"/>
  <c r="E17" i="23"/>
  <c r="E16" i="23"/>
  <c r="D8" i="23"/>
  <c r="D18" i="23" l="1"/>
  <c r="E18" i="23" s="1"/>
  <c r="E21" i="23" s="1"/>
  <c r="E22" i="23" s="1"/>
  <c r="E23" i="23" s="1"/>
  <c r="E16" i="22"/>
  <c r="D18" i="22"/>
  <c r="E18" i="22" s="1"/>
  <c r="E21" i="22" s="1"/>
  <c r="D8" i="22"/>
  <c r="E22" i="22" l="1"/>
  <c r="E23" i="22" s="1"/>
  <c r="E20" i="21"/>
  <c r="E16" i="21"/>
  <c r="D18" i="21" s="1"/>
  <c r="E18" i="21" s="1"/>
  <c r="E17" i="21"/>
  <c r="D8" i="21"/>
  <c r="E21" i="21" l="1"/>
  <c r="E22" i="21" s="1"/>
  <c r="E16" i="20"/>
  <c r="D18" i="20" s="1"/>
  <c r="E18" i="20" s="1"/>
  <c r="E19" i="20" s="1"/>
  <c r="E17" i="20"/>
  <c r="D8" i="20"/>
  <c r="E20" i="20" l="1"/>
  <c r="E21" i="20" s="1"/>
  <c r="E20" i="19"/>
  <c r="E16" i="19"/>
  <c r="D18" i="19" s="1"/>
  <c r="E18" i="19" s="1"/>
  <c r="E17" i="19"/>
  <c r="D8" i="19"/>
  <c r="E21" i="19" l="1"/>
  <c r="E22" i="19" s="1"/>
  <c r="E17" i="17"/>
  <c r="E16" i="17"/>
  <c r="E17" i="16"/>
  <c r="E16" i="16"/>
  <c r="E24" i="18"/>
  <c r="E19" i="18"/>
  <c r="E18" i="18"/>
  <c r="D21" i="18" l="1"/>
  <c r="E20" i="18"/>
  <c r="E17" i="18"/>
  <c r="D8" i="18"/>
  <c r="E21" i="18" l="1"/>
  <c r="E25" i="18" s="1"/>
  <c r="E26" i="18" s="1"/>
  <c r="D18" i="17"/>
  <c r="E18" i="17" s="1"/>
  <c r="E21" i="17" s="1"/>
  <c r="D8" i="17"/>
  <c r="E22" i="17" l="1"/>
  <c r="E23" i="17" s="1"/>
  <c r="D18" i="16"/>
  <c r="E18" i="16" s="1"/>
  <c r="E19" i="16" s="1"/>
  <c r="D8" i="16"/>
  <c r="E20" i="16" l="1"/>
  <c r="E21" i="16" s="1"/>
  <c r="E16" i="15"/>
  <c r="D18" i="15" s="1"/>
  <c r="E18" i="15" s="1"/>
  <c r="E21" i="15" s="1"/>
  <c r="E17" i="15"/>
  <c r="D8" i="15"/>
  <c r="E22" i="15" l="1"/>
  <c r="E23" i="15" s="1"/>
  <c r="E17" i="14"/>
  <c r="D19" i="14" s="1"/>
  <c r="E19" i="14" s="1"/>
  <c r="E22" i="14" s="1"/>
  <c r="E18" i="14"/>
  <c r="D8" i="14"/>
  <c r="E23" i="14" l="1"/>
  <c r="E24" i="14" s="1"/>
  <c r="E23" i="13"/>
  <c r="E23" i="10"/>
  <c r="E22" i="13"/>
  <c r="E18" i="13"/>
  <c r="E17" i="13"/>
  <c r="D8" i="13"/>
  <c r="D19" i="13" l="1"/>
  <c r="E19" i="13" s="1"/>
  <c r="E24" i="13" s="1"/>
  <c r="E21" i="12"/>
  <c r="E18" i="12"/>
  <c r="E17" i="12"/>
  <c r="D8" i="12"/>
  <c r="D19" i="12" l="1"/>
  <c r="E19" i="12" s="1"/>
  <c r="E22" i="12" s="1"/>
  <c r="E23" i="12" s="1"/>
  <c r="E17" i="11"/>
  <c r="D19" i="11" s="1"/>
  <c r="E19" i="11" s="1"/>
  <c r="E20" i="11" s="1"/>
  <c r="E18" i="11"/>
  <c r="D8" i="11"/>
  <c r="E21" i="11" l="1"/>
  <c r="E22" i="11" s="1"/>
  <c r="E17" i="10"/>
  <c r="D19" i="10" s="1"/>
  <c r="E19" i="10" s="1"/>
  <c r="E22" i="10" s="1"/>
  <c r="E18" i="10"/>
  <c r="D8" i="10"/>
  <c r="E21" i="9"/>
  <c r="E18" i="9"/>
  <c r="E17" i="9"/>
  <c r="D8" i="9"/>
  <c r="E24" i="10" l="1"/>
  <c r="D19" i="9"/>
  <c r="E19" i="9" s="1"/>
  <c r="E22" i="9" s="1"/>
  <c r="E23" i="9" s="1"/>
  <c r="D8" i="8"/>
  <c r="E17" i="7" l="1"/>
  <c r="D19" i="7" l="1"/>
  <c r="E19" i="7" s="1"/>
  <c r="E22" i="7" s="1"/>
  <c r="E18" i="7"/>
  <c r="D8" i="7"/>
  <c r="E23" i="7" l="1"/>
  <c r="E24" i="7" s="1"/>
  <c r="E17" i="6"/>
  <c r="D19" i="6" s="1"/>
  <c r="E19" i="6" s="1"/>
  <c r="E22" i="6" s="1"/>
  <c r="E18" i="6"/>
  <c r="D8" i="6"/>
  <c r="E23" i="6" l="1"/>
  <c r="E24" i="6" s="1"/>
  <c r="E17" i="5"/>
  <c r="D19" i="5" s="1"/>
  <c r="E19" i="5" s="1"/>
  <c r="E22" i="5" s="1"/>
  <c r="E18" i="5"/>
  <c r="D8" i="5"/>
  <c r="E23" i="5" l="1"/>
  <c r="E24" i="5" s="1"/>
  <c r="E18" i="4"/>
  <c r="E17" i="4"/>
  <c r="D8" i="4"/>
  <c r="D19" i="4" l="1"/>
  <c r="E19" i="4" s="1"/>
  <c r="E22" i="4" s="1"/>
  <c r="E23" i="4" s="1"/>
  <c r="E24" i="4" s="1"/>
  <c r="D8" i="3"/>
  <c r="E17" i="3"/>
  <c r="E18" i="3"/>
  <c r="D19" i="3" s="1"/>
  <c r="E19" i="3" s="1"/>
  <c r="E22" i="3" s="1"/>
  <c r="E23" i="3" l="1"/>
  <c r="E24" i="3" s="1"/>
  <c r="D19" i="1"/>
  <c r="E17" i="1"/>
  <c r="E19" i="1" l="1"/>
  <c r="E22" i="1" s="1"/>
  <c r="E18" i="1"/>
  <c r="D8" i="1"/>
  <c r="E23" i="1" l="1"/>
  <c r="E24" i="1" s="1"/>
</calcChain>
</file>

<file path=xl/sharedStrings.xml><?xml version="1.0" encoding="utf-8"?>
<sst xmlns="http://schemas.openxmlformats.org/spreadsheetml/2006/main" count="3306" uniqueCount="489">
  <si>
    <t>Приложение №_____к договору №_____от"___"__________________2017г.</t>
  </si>
  <si>
    <t xml:space="preserve">Заказчик:        </t>
  </si>
  <si>
    <t>Исполнитель:</t>
  </si>
  <si>
    <t xml:space="preserve">1-й заместитель </t>
  </si>
  <si>
    <t>Директор</t>
  </si>
  <si>
    <t>генерального директора ЗАО "СПГЭС"</t>
  </si>
  <si>
    <t xml:space="preserve">ООО «ГорЭнергоСервис»                                                                                                                                                                           </t>
  </si>
  <si>
    <t>_____________Д.О. Грищенко</t>
  </si>
  <si>
    <t>_____________А.Н. Куликов</t>
  </si>
  <si>
    <t>"___" ___________ 2017 г.</t>
  </si>
  <si>
    <t xml:space="preserve">Смета № </t>
  </si>
  <si>
    <t>Проектные работы.</t>
  </si>
  <si>
    <t xml:space="preserve">№
п/п
</t>
  </si>
  <si>
    <t>Характеристика предприятия, здания, сооружения или вида работ</t>
  </si>
  <si>
    <t>Ном. частей, глав, таблиц, §§ и пунктов, указаний к разделу или главе справочника базовых цен на проектные работы для строительства.</t>
  </si>
  <si>
    <t>Расчёт стоимости: общая стоимость строительства) х а%/100хКi</t>
  </si>
  <si>
    <t xml:space="preserve">Стоимость
руб.
</t>
  </si>
  <si>
    <t>Расчет токов короткого замыкания</t>
  </si>
  <si>
    <t>СБЦ 2003г.                                    Раздел 4.2 Табл.30 п.1  Раздел 4.2 Табл.30  столбец 7 К2(1)</t>
  </si>
  <si>
    <t>Срп(п)=(а+вх)*К2(1)*    *Кинд *К3           (0+800*1)*0,5*3,99</t>
  </si>
  <si>
    <t>Сбор исходных данных 10%</t>
  </si>
  <si>
    <t>От п.1-2</t>
  </si>
  <si>
    <t>Согласование с организациями города</t>
  </si>
  <si>
    <t>Инженерно-геодезические изыскания</t>
  </si>
  <si>
    <t xml:space="preserve">ИТОГО </t>
  </si>
  <si>
    <t>НДС 18%</t>
  </si>
  <si>
    <t>ВСЕГО</t>
  </si>
  <si>
    <t>Инженер-сметчик ООО "ГЭС"</t>
  </si>
  <si>
    <t>Проверил:</t>
  </si>
  <si>
    <t>Сахаров А.П.____________________</t>
  </si>
  <si>
    <t xml:space="preserve">                                                                                                                                                                                                                                                 </t>
  </si>
  <si>
    <t>Лоскуткина С.Д._____________________</t>
  </si>
  <si>
    <t xml:space="preserve"> ВЛИ-0,4 кВ 
Общая стоимость                     строительства 389640,50                                             руб.,                                                                     в ценах 2001г.-60146,41 руб. </t>
  </si>
  <si>
    <t>СБЦ 2003г.                                               Раздел3.Табл.12 БЦП=4811,71; Раздел3.Табл.11п.1 стр.31  К1=2,4; Табл.11п.4 стр.31  К2=1,2;   К4=0,805; К5(удорож.)=3,99</t>
  </si>
  <si>
    <t>4811,71х2,4х1,2х0,805х3,99</t>
  </si>
  <si>
    <t>Монтаж ВЛИ- 0,4кВ, ТП-114 от опоры №3-00/17 , п. Дальний Затон, СНТ "Березка"</t>
  </si>
  <si>
    <t>3128,66х2,4х1,2х0,805х3,99</t>
  </si>
  <si>
    <t>СБЦ 2003г.                                               Раздел3.Табл.12 БЦП=3128,66; Раздел3.Табл.11п.1 стр.31  К1=2,4; Табл.11п.4 стр.31  К2=1,2;   К4=0,805; К5(удорож.)=3,99</t>
  </si>
  <si>
    <r>
      <t xml:space="preserve"> ВЛИ-0,4 кВ 
Общая стоимость                     строительства 253351,16                                             руб.,                                                                     в ценах 2001г.-39108,26 </t>
    </r>
    <r>
      <rPr>
        <sz val="12"/>
        <rFont val="Times New Roman"/>
        <family val="1"/>
        <charset val="204"/>
      </rPr>
      <t xml:space="preserve">руб. </t>
    </r>
  </si>
  <si>
    <t>Монтаж ВЛИ- 0,4кВ, от опоры №2-01/6 ВЛИ- 0,4 кВ ТП 229 до концевой опоры, 2-й Монтажный проезд, д.44</t>
  </si>
  <si>
    <t>Монтаж ВЛИ- 0,4кВ, от опоры №1-05/3 ВЛИ- 0,4 кВ ТП 738 , 1-й Покровский пр., уч. №23, ЖГ №13</t>
  </si>
  <si>
    <t xml:space="preserve"> ВЛИ-0,4 кВ 
Общая стоимость                     строительства 161976,59                                             руб.,                                                                     в ценах 2001г.-25003,33 руб. </t>
  </si>
  <si>
    <t>СБЦ 2003г.                                               Раздел3.Табл.12 БЦП=2000,26; Раздел3.Табл.11п.1 стр.31  К1=2,4; Табл.11п.4 стр.31  К2=1,2;   К4=0,805; К5(удорож.)=3,99</t>
  </si>
  <si>
    <t>2000,26х2,4х1,2х0,805х3,99</t>
  </si>
  <si>
    <t>Срп(п)=(а+вх)*К2(1)*    *Кинд *К3           (0+800*2)*0,5*3,99</t>
  </si>
  <si>
    <t>"___" ___________ 2018 г.</t>
  </si>
  <si>
    <t>Монтаж ВЛИ- 0,4кВ, от опоры №2-03/2 ВЛИ- 0,4 кВ ТП 746, 3-й Лагерный пр., д.48А.</t>
  </si>
  <si>
    <t xml:space="preserve"> ВЛИ-0,4 кВ 
Общая стоимость                     строительства 70127,51                                             руб.,                                                                     в ценах 2001г.-10825,15 руб. </t>
  </si>
  <si>
    <t>СБЦ 2003г.                                               Раздел3.Табл.12 БЦП=866,01; Раздел3.Табл.11п.1 стр.31  К1=2,4; Табл.11п.4 стр.31  К2=1,2;   К4=0,805; К5(удорож.)=3,99</t>
  </si>
  <si>
    <t>866,01х2,4х1,2х0,805х3,99</t>
  </si>
  <si>
    <t>Монтаж ВЛИ- 0,4кВ, от опоры №1-01/5 ВЛИ- 0,4 кВ ТП 839, ТИЗ при С/Т "СТЭМК", участок №26</t>
  </si>
  <si>
    <t xml:space="preserve"> ВЛИ-0,4 кВ 
Общая стоимость                     строительства 285404,56                                             руб.,                                                                     в ценах 2001г.-44056,15 руб. </t>
  </si>
  <si>
    <t>СБЦ 2003г.                                               Раздел3.Табл.12 БЦП=3524,49; Раздел3.Табл.11п.1 стр.31  К1=2,4; Табл.11п.4 стр.31  К2=1,2;   К4=0,805; К5(удорож.)=3,99</t>
  </si>
  <si>
    <t>3524,49х2,4х1,2х0,805х3,99</t>
  </si>
  <si>
    <t>_____________Е.Н. Стрелин</t>
  </si>
  <si>
    <t>Приложение №_____к договору №_____от"___"__________________2018г.</t>
  </si>
  <si>
    <t>Монтаж ВЛИ- 0,4кВ, РП - Горный, ул. Хвалынская от ул. Посадского до ул. Соколовой.</t>
  </si>
  <si>
    <t xml:space="preserve"> ВЛИ-0,4 кВ 
Общая стоимость                     строительства 3564686,74                                             руб.,                                                                     в ценах 2001г.-550258,83 руб. </t>
  </si>
  <si>
    <t>СБЦ 2003г.                                               Раздел3.Табл.12 БЦП=25678,75; Раздел3.Табл.11п.1 стр.31  К1=2,4; Табл.11п.4 стр.31  К2=1,2;   К4=0,805; К5(удорож.)=3,99</t>
  </si>
  <si>
    <t>25678,75х2,4х1,2х0,805х3,99</t>
  </si>
  <si>
    <t>ЛЭП напряжением 0,4 кВ (ВЛ 0,4 кВ)</t>
  </si>
  <si>
    <t>Объекты энергетики (ОАО РАО "ЕЭС России") 2003 г. Раздел 3.3. Электросетевое строительство. Таблица 11. Электрические сети напряжением до 35 кВ п.1
Апред=0.028(млн.руб); Аслед=0.039(млн.руб); 
Спред=0.6(млн.руб); Сслед=1.0(млн.руб); 
Стоим строит.
Стек=3,71768674(млн.руб)
Сбаз=3,71768674/5,49*1=0.67717427(млн.руб);</t>
  </si>
  <si>
    <t>(Aслед - (Aслед - Апред) / (Сслед - Спред) * (Сслед - С)) * Кст * Ктек * K1 * K2
(0.039 - (0.039 - 0.028) / (1 - 0.6) * (1 - 0.67717427)) * 1 * 3.99 * 2.4 * 1.2 * 0.805</t>
  </si>
  <si>
    <t>Коэффициенты</t>
  </si>
  <si>
    <t>Стадия: Рабочий проект</t>
  </si>
  <si>
    <t>Кст = 1</t>
  </si>
  <si>
    <t>Ктек = 3.99
Письмо Минстроя России от 20.03.2017 №8802-ХМ/09</t>
  </si>
  <si>
    <t>K1 = 2.4
Прим.1 к табл.11</t>
  </si>
  <si>
    <t>K2 = 1.2
Прим. 4 к табл.11</t>
  </si>
  <si>
    <t>Разделы документации</t>
  </si>
  <si>
    <t>(70.5% + 10.0%) = 80.5%</t>
  </si>
  <si>
    <t>Расчет токов короткого замыкания электрических сетей напряжением до 20 кВ п.1</t>
  </si>
  <si>
    <t>Объекты энергетики (ОАО РАО "ЕЭС России") 2003 г. 4.2 Отдельные виды работ для электросетей напряжением до 20 кВ. Таблица 30. Расчет токов короткого замыкания электрических сетей напряжением до 20 кВ п.1
B=0.80 тыс.руб;
Осн. показ. Х=1 (1 сеть) 
Количество = 1</t>
  </si>
  <si>
    <t>(A + B * Xзад) * Количество * Кст * Ктек
(0 руб + 800 руб * 1) * 1 * 0.50 * 3.99</t>
  </si>
  <si>
    <t>Кст = 0.50</t>
  </si>
  <si>
    <t>(100%) = 100%</t>
  </si>
  <si>
    <t>Итого по смете:</t>
  </si>
  <si>
    <t>Сбор исходных данных</t>
  </si>
  <si>
    <t>10% от п.3</t>
  </si>
  <si>
    <t>Проектные</t>
  </si>
  <si>
    <t>Согласование  с организациями города</t>
  </si>
  <si>
    <t>Итого без НДС</t>
  </si>
  <si>
    <t>Сумма от п.3 - 6</t>
  </si>
  <si>
    <t xml:space="preserve">НДС </t>
  </si>
  <si>
    <t>18% от п.7</t>
  </si>
  <si>
    <t>Всего по смете:</t>
  </si>
  <si>
    <t>Сумма от п.7-8</t>
  </si>
  <si>
    <t xml:space="preserve">Расчет стоимости: (a+bx)*Ki, или (объем строительно-монтажных работ) * проц./100 или количество x цена </t>
  </si>
  <si>
    <t>Номер частей, глав, таблиц, процентов, параграфов и пунктов указаний к разделу Справочника базовых цен на проектные и изыскательские работы для строительства</t>
  </si>
  <si>
    <t>Горгаз, Водоканал,Тепловые сети, НЭСК, Ростелеком</t>
  </si>
  <si>
    <t>Монтаж ВЛИ- 0,4кВ ТП - 947 , 5-й Родниковый пр.,з/у №22А.</t>
  </si>
  <si>
    <t xml:space="preserve"> ВЛИ-0,4 кВ 
Общая стоимость                     строительства 120788,35                                             руб.,                                                                     в ценах 2001г.-18645,35 руб. </t>
  </si>
  <si>
    <t>СБЦ 2003г.                                               Раздел3.Табл.12 БЦП=1491,62; Раздел3.Табл.11п.1 стр.31  К1=2,4; Табл.11п.4 стр.31  К2=1,2;   К4=0,805; К5(удорож.)=3,99</t>
  </si>
  <si>
    <t>1491,62х2,4х1,2х0,805х3,99</t>
  </si>
  <si>
    <t>Монтаж ВЛИ- 0,4кВ, от опоры №3-03/13 ВЛИ- 0,4 кВ ТП 657, ул. Гуселковская, д.6</t>
  </si>
  <si>
    <t xml:space="preserve"> ВЛИ-0,4 кВ 
Общая стоимость                     строительства 558808,23                                             руб.,                                                                     в ценах 2001г.-86259,80 руб. </t>
  </si>
  <si>
    <t>СБЦ 2003г.                                               Раздел3.Табл.12 БЦП=6900,78; Раздел3.Табл.11п.1 стр.31  К1=2,4; Табл.11п.4 стр.31  К2=1,2;   К4=0,805; К5(удорож.)=3,99</t>
  </si>
  <si>
    <t>6900,78х2,4х1,2х0,805х3,99</t>
  </si>
  <si>
    <t xml:space="preserve"> ВЛИ-0,4 кВ 
Общая стоимость                     строительства 141800,12                                             руб.,                                                                     в ценах 2001г.-21888,81 руб. </t>
  </si>
  <si>
    <t>СБЦ 2003г.                                               Раздел3.Табл.12 БЦП=1751,10; Раздел3.Табл.11п.1 стр.31  К1=2,4; Табл.11п.4 стр.31  К2=1,2;   К4=0,805; К5(удорож.)=3,99</t>
  </si>
  <si>
    <t>1751,10х2,4х1,2х0,805х3,99</t>
  </si>
  <si>
    <t xml:space="preserve"> ВЛИ-0,4 кВ 
Общая стоимость                     строительства 89453,50                                             руб.,                                                                     в ценах 2001г.-13808,39 руб. </t>
  </si>
  <si>
    <t>СБЦ 2003г.                                               Раздел3.Табл.12 БЦП=1104,67; Раздел3.Табл.11п.1 стр.31  К1=2,4; Табл.11п.4 стр.31  К2=1,2;   К4=0,805; К5(удорож.)=3,99</t>
  </si>
  <si>
    <t>1104,67х2,4х1,2х0,805х3,99</t>
  </si>
  <si>
    <t>Монтаж ВЛИ- 0,4кВ ТП-168 от опоры №1-04/1 до опоры №1-04/2 ВЛИ- 0,4 кВ ТП 168, ул. 1-ый Парковый пр., 16/1.</t>
  </si>
  <si>
    <t>Монтаж ВЛИ- 0,4кВ ТП - 738 от опоры №1-18/8 до границ земельного участка, Новосоколовогорский жилой район, уч.8</t>
  </si>
  <si>
    <t>Монтаж ВЛИ- 0,4кВ ТП - 839 от опоры №1-05/3 до границы земельного участка, на землях с/х "Ленинский путь"</t>
  </si>
  <si>
    <t xml:space="preserve"> ВЛИ-0,4 кВ 
Общая стоимость                     строительства 155233,13                                             руб.,                                                                     в ценах 2001г.-23962,39 руб. </t>
  </si>
  <si>
    <t>СБЦ 2003г.                                               Раздел3.Табл.12 БЦП=1916,99; Раздел3.Табл.11п.1 стр.31  К1=2,4; Табл.11п.4 стр.31  К2=1,2;   К4=0,805; К5(удорож.)=3,99</t>
  </si>
  <si>
    <t>1916,99х2,4х1,2х0,805х3,99</t>
  </si>
  <si>
    <t>_____________С.В. Козин</t>
  </si>
  <si>
    <t>Генеральный директор</t>
  </si>
  <si>
    <t xml:space="preserve"> ЗАО "СПГЭС"</t>
  </si>
  <si>
    <t>Монтаж ВЛИ- 0,4кВ ТП-1106 от РУ-0,4 ТП - 1106 до ВРУ, ул. Тархова, б/н.</t>
  </si>
  <si>
    <t xml:space="preserve"> ВЛИ-0,4 кВ 
Общая стоимость                     строительства 251403,19                                             руб.,                                                                     в ценах 2001г.-38807,57 руб. </t>
  </si>
  <si>
    <t>СБЦ 2003г.                                               Раздел3.Табл.12 БЦП=3104,61; Раздел3.Табл.11п.1 стр.31  К1=2,4; Табл.11п.4 стр.31  К2=1,2;   К4=0,805; К5(удорож.)=3,99</t>
  </si>
  <si>
    <t>3104,61х2,4х1,2х0,805х3,99</t>
  </si>
  <si>
    <t>Монтаж ВЛИ- 0,4кВ ТП-464 от существующей концевой опоры №1-01/4 до д.12 по 1-у Перспективному пр.</t>
  </si>
  <si>
    <t xml:space="preserve"> ВЛИ-0,4 кВ 
Общая стоимость                     строительства 128046,33                                             руб.,                                                                     в ценах 2001г.-19765,73 руб. </t>
  </si>
  <si>
    <t>СБЦ 2003г.                                               Раздел3.Табл.12 БЦП=1581,26; Раздел3.Табл.11п.1 стр.31  К1=2,4; Табл.11п.4 стр.31  К2=1,2;   К4=0,805; К5(удорож.)=3,99</t>
  </si>
  <si>
    <t>1581,26х2,4х1,2х0,805х3,99</t>
  </si>
  <si>
    <t xml:space="preserve"> ВЛИ-0,4 кВ 
Общая стоимость                     строительства 159176,93                                             руб.,                                                                     в ценах 2001г.-24571,17 руб. </t>
  </si>
  <si>
    <t>Монтаж ВЛИ- 0,4кВ от опоры №2-00/7 ВЛИ-0,4кВ ТП-590 до границы земельного участка, ул. Охотная, б/н.</t>
  </si>
  <si>
    <t xml:space="preserve"> ВЛИ-0,4 кВ 
Общая стоимость                     строительства 81152,19                                             руб.,                                                                     в ценах 2001г.-12526,97 руб. </t>
  </si>
  <si>
    <t>Приложение №_____к договору №_____от"___"__________________2018  г.</t>
  </si>
  <si>
    <t xml:space="preserve">_____________Е.Н. Стрелин </t>
  </si>
  <si>
    <t>"___" ___________ 2018  г.</t>
  </si>
  <si>
    <t>Кабельные линии напряжением до 35 кВ интервалы протяженности свыше 100 м до 500 м</t>
  </si>
  <si>
    <t>Раздел 4.2 Табл.30 п.1  Раздел 4.2 Табл.30  столбец 7 К2(1)</t>
  </si>
  <si>
    <t xml:space="preserve">Инженерно-геодезические изыскания </t>
  </si>
  <si>
    <t>Лоскуткина С.Д. _____________________</t>
  </si>
  <si>
    <t>Монтаж ВЛИ-0,4кВ, ТП- 738, ул. Большая Долинная, Новосоколовогорский жилой район</t>
  </si>
  <si>
    <t>СБЦ 2003г.                                               Раздел3.Табл.12 БЦП=1002,16; Раздел3.Табл.11п.1 стр.31  К1=2,4; Табл.11п.4 стр.31  К2=1,2;   К4=0,805; К5(удорож.)=3,83</t>
  </si>
  <si>
    <t>1002,16х2,4х1,2х0,805х3,83</t>
  </si>
  <si>
    <t xml:space="preserve"> ВЛИ-0,4 кВ 
Общая стоимость                     строительства 19214,29                                             руб.,                                                                     в ценах 2001г.-2965,99 руб. </t>
  </si>
  <si>
    <t>СБЦ 2003г.                                               Раздел3.Табл.12 БЦП=237,28; Раздел3.Табл.11п.1 стр.31  К1=2,4; Табл.11п.4 стр.31  К2=1,2;   К4=0,805; К5(удорож.)=3,83</t>
  </si>
  <si>
    <t>237,28х2,4х1,2х0,805х3,83</t>
  </si>
  <si>
    <t>СБЦ  2012 г.  Раз.3 Табл.17 п.2
A=7,763 тыс.руб; B=0,042тыс.руб;
Осн. показ. Х=240 (м)                                                            Раздел 3.Гл.2.8. Прим.2.8.1.1     К2 =1,4; К3 =1,1 Табл.47 К4=0,565.                                 М.у.2009г.  п.1.4 К5=0,6      К6(удорож.)=3,99</t>
  </si>
  <si>
    <t xml:space="preserve">Срп(п)=(а+вх)*К2(1)*    *Кинд *К3           (0+800*5)*0,5*3,83            </t>
  </si>
  <si>
    <t>СБЦ  2012 г.  Раздел.3 Табл.17 п.1
A=7,763 тыс.руб; B=0,042 тыс.руб;
Осн. показ. Х=80  (м) Количество = 3                                                      Раздел 3.Гл.2.8. Прим.2.8.1.1     К2 =1,4; К3 =1,1 Табл.46 К4=0,555.                                 М.у.2009г.  п.1.4 К5=0,4     К6(удорож.)=3,83</t>
  </si>
  <si>
    <t>(A + B * Хзад) * Количество *  K1 * K2 * K3*К4*К5*К6
(7,763 тыс.руб + 0,042 тыс.руб*(0,4*100+0,6*80))*3*0,4*3,83*1,4*(1+0,1)*0,555</t>
  </si>
  <si>
    <t>(A + B * Хзад) * Количество *  K1 * K2 * K3*К4*К5*К6
(7,763 тыс.руб + 0,042 тыс.руб*(0,4*100+0,6*80))*3*0,6*3,83*1,4*(1+0,1)*0,565</t>
  </si>
  <si>
    <t>От п.1-4</t>
  </si>
  <si>
    <t>СБЦ 2003г.                                               Раздел3.Табл.12 БЦП=1965,70; Раздел3.Табл.11п.1 стр.31  К1=2,4; Табл.11п.4 стр.31  К2=1,2;   К4=0,805; К5(удорож.)=3,83</t>
  </si>
  <si>
    <t>1965,70х2,4х1,2х0,805х3,83</t>
  </si>
  <si>
    <t>Срп(п)=(а+вх)*К2(1)*    *Кинд *К3           (0+800*1)*0,5*3,83</t>
  </si>
  <si>
    <t>Монтаж ВЛИ- 0,4кВ от опоры №1-00/12 ВЛИ-0,4кВ ТП-1115 до границы земельного участка, ул. Кутякова, 122</t>
  </si>
  <si>
    <t xml:space="preserve"> ВЛИ-0,4 кВ 
Общая стоимость                     строительства 118320,70                                             руб.,                                                                     в ценах 2001г.-18264,45 руб. </t>
  </si>
  <si>
    <t>СБЦ 2003г.                                               Раздел3.Табл.12 БЦП=1461,16; Раздел3.Табл.11п.1 стр.31  К1=2,4; Табл.11п.4 стр.31  К2=1,2;   К4=0,805; К5(удорож.)=3,83</t>
  </si>
  <si>
    <t>1461,16х2,4х1,2х0,805х3,83</t>
  </si>
  <si>
    <t>Монтаж ВЛИ- 0,4кВ от РУ-0,4кВ РП-Новосоколовогорский до границы земельного участка, ул. Усть-Курдюмская, д.3</t>
  </si>
  <si>
    <t>Монтаж ВЛИ- 0,4кВ ТП-323 от опоры №4-00/3 до опоры №4-01/3, 5-ый Динамовский проезд, д.130А</t>
  </si>
  <si>
    <t xml:space="preserve"> ВЛИ-0,4 кВ 
Общая стоимость                     строительства 173644,93                                             руб.,                                                                     в ценах 2001г.-26804,50 руб. </t>
  </si>
  <si>
    <t>СБЦ 2003г.                                               Раздел3.Табл.12 БЦП=2144,36; Раздел3.Табл.11п.1 стр.31  К1=2,4; Табл.11п.4 стр.31  К2=1,2;   К4=0,805; К5(удорож.)=3,83</t>
  </si>
  <si>
    <t>2144,36х2,4х1,2х0,805х3,83</t>
  </si>
  <si>
    <t>Монтаж ВЛИ- 0,4кВ от опоры №1-05/3 ВЛИ-0,4кВ КТП-748 до границы земельного участка, 3-и сады, СНТ "Труд-66", уч.42</t>
  </si>
  <si>
    <t xml:space="preserve"> ВЛИ-0,4 кВ 
Общая стоимость                     строительства 143972,08                                             руб.,                                                                     в ценах 2001г.-22224,09 руб. </t>
  </si>
  <si>
    <t>СБЦ 2003г.                                               Раздел3.Табл.12 БЦП=1777,93; Раздел3.Табл.11п.1 стр.31  К1=2,4; Табл.11п.4 стр.31  К2=1,2;   К4=0,805; К5(удорож.)=3,83</t>
  </si>
  <si>
    <t>1777,93х2,4х1,2х0,805х3,83</t>
  </si>
  <si>
    <t>на рабочую документацию</t>
  </si>
  <si>
    <t>Монтаж ВЛИ- 0,4кВ от опоры №1-01/13 ВЛИ-0,4кВ ТП-353 до границы земельного участка, ул. Зерновая, б/н.</t>
  </si>
  <si>
    <t xml:space="preserve"> ВЛИ-0,4 кВ 
Общая стоимость                     строительства 123676,28                                             руб.,                                                                     в ценах 2001г.-19091,15 руб. </t>
  </si>
  <si>
    <t>СБЦ 2003г.                                               Раздел3.Табл.12 БЦП=1527,30; Раздел3.Табл.11п.1 стр.31  К1=2,4; Табл.11п.4 стр.31  К2=1,2;   К4=0,805; К5(удорож.)=3,83</t>
  </si>
  <si>
    <t>1527,30х2,4х1,2х0,805х3,83</t>
  </si>
  <si>
    <t>Монтаж ВЛИ- 0,4кВ от опоры №1-05/3 ВЛИ-0,4кВ РП-Юбилейный до границы земельного участка, Новосоколовогорский жилой район, 30.</t>
  </si>
  <si>
    <t xml:space="preserve"> ВЛИ-0,4 кВ 
Общая стоимость                     строительства 79996,38                                             руб.,                                                                     в ценах 2001г.-12348,55 руб. </t>
  </si>
  <si>
    <t>СБЦ 2003г.                                               Раздел3.Табл.12 БЦП=987,89; Раздел3.Табл.11п.1 стр.31  К1=2,4; Табл.11п.4 стр.31  К2=1,2;   К4=0,805; К5(удорож.)=3,83</t>
  </si>
  <si>
    <t>987,89х2,4х1,2х0,805х3,83</t>
  </si>
  <si>
    <t>Срп(п)=(а+вх)*К2(1)*    *Кинд *К3           (0+800*2)*0,5*3,83</t>
  </si>
  <si>
    <t>Монтаж ВЛИ- 0,4кВ от опоры №1-02/9 ВЛИ-0,4кВ КТП-997 до границы земельного участка, Новосоколовогорский жилой район, уч.№9</t>
  </si>
  <si>
    <t xml:space="preserve"> ВЛИ-0,4 кВ 
Общая стоимость                     строительства 98594,56                                             руб.,                                                                     в ценах 2001г.-15219,44 руб. </t>
  </si>
  <si>
    <t>СБЦ 2003г.                                               Раздел3.Табл.12 БЦП=1217,55; Раздел3.Табл.11п.1 стр.31  К1=2,4; Табл.11п.4 стр.31  К2=1,2;   К4=0,805; К5(удорож.)=3,83</t>
  </si>
  <si>
    <t>1217,55х2,4х1,2х0,805х3,83</t>
  </si>
  <si>
    <t>Монтаж ВЛИ- 0,4кВ от опоры №3-00/11 ВЛИ-0,4кВ ТП-177 до границы земельного участка, ул. Донская, б/н.</t>
  </si>
  <si>
    <t xml:space="preserve"> ВЛИ-0,4 кВ 
Общая стоимость                     строительства 60551,59                                             руб.,                                                                     в ценах 2001г.-9346,98 руб. </t>
  </si>
  <si>
    <t>СБЦ 2003г.                                               Раздел3.Табл.12 БЦП=747,76; Раздел3.Табл.11п.1 стр.31  К1=2,4; Табл.11п.4 стр.31  К2=1,2;   К4=0,805; К5(удорож.)=3,83</t>
  </si>
  <si>
    <t>747,76х2,4х1,2х0,805х3,83</t>
  </si>
  <si>
    <t xml:space="preserve"> ВЛИ-0,4 кВ 
Общая стоимость                     строительства 217132,93                                             руб.,                                                                     в ценах 2001г.-33517,48 руб. </t>
  </si>
  <si>
    <t>СБЦ 2003г.                                               Раздел3.Табл.12 БЦП=2681,40; Раздел3.Табл.11п.1 стр.31  К1=2,4; Табл.11п.4 стр.31  К2=1,2;   К4=0,805; К5(удорож.)=3,83</t>
  </si>
  <si>
    <t>2681,40х2,4х1,2х0,805х3,83</t>
  </si>
  <si>
    <t>Монтаж ВЛИ- 0,4кВ от опоры №1-02/4 ВЛИ-0,4кВ КТП-787 до границ земельного участка, ул. Строителей, уч. 48</t>
  </si>
  <si>
    <t xml:space="preserve">   Приложение  № _____ к договору № _______ от "____"_________________ 2018г. </t>
  </si>
  <si>
    <t>Подрядчик:</t>
  </si>
  <si>
    <t xml:space="preserve">Первый заместитель </t>
  </si>
  <si>
    <t>_____________Е.Н.Стрелин</t>
  </si>
  <si>
    <t>_____________А.Н.Куликов</t>
  </si>
  <si>
    <t>"___"  ____________  2018г.</t>
  </si>
  <si>
    <t>Смета №</t>
  </si>
  <si>
    <t>№ пп</t>
  </si>
  <si>
    <t>Характеристика предприятия, здания, сооружения или виды работ</t>
  </si>
  <si>
    <t>Стоимость, руб.</t>
  </si>
  <si>
    <t>1</t>
  </si>
  <si>
    <t>Кабельные линии напряжением до 35 кВ. Интервалы протяженности свыше 100 до 500 м.</t>
  </si>
  <si>
    <t/>
  </si>
  <si>
    <t>Стадия: Рабочая документация</t>
  </si>
  <si>
    <t>Кст = 0.6</t>
  </si>
  <si>
    <t>Ктек = 3.83
Письмо Минстроя России от 04.04.2018 №13606-ХМ/09</t>
  </si>
  <si>
    <t>K1 = 1.1
Глава 2.8, п.2.8.1.1</t>
  </si>
  <si>
    <t>K2 = 1.4
Глава 2.8, п.2.8.1.1</t>
  </si>
  <si>
    <t>(24.5% + 23.5% + 2.5% + 17.0% + 8.0% + 5.0% + 10.0%) = 90.5%</t>
  </si>
  <si>
    <t>2</t>
  </si>
  <si>
    <t>3</t>
  </si>
  <si>
    <t>4</t>
  </si>
  <si>
    <t>5</t>
  </si>
  <si>
    <t>6</t>
  </si>
  <si>
    <t>7</t>
  </si>
  <si>
    <t>8</t>
  </si>
  <si>
    <t>НДС</t>
  </si>
  <si>
    <t>9</t>
  </si>
  <si>
    <t>Составил:</t>
  </si>
  <si>
    <r>
      <t xml:space="preserve"> ВЛИ-0,4 кВ 
</t>
    </r>
    <r>
      <rPr>
        <sz val="10"/>
        <rFont val="Arial"/>
        <family val="2"/>
        <charset val="204"/>
      </rPr>
      <t xml:space="preserve">Общая стоимость                     строительства 614879,05                                             руб.,                                                                     в ценах 2001г.-94915,11 руб. </t>
    </r>
  </si>
  <si>
    <t>СБЦ 2003г.                                               Раздел3.Табл.12 БЦП=7593,21; Раздел3.Табл.11п.1 стр.31  К1=2,4; Табл.11п.4 стр.31  К2=1,2;   К4=0,805; К5(удорож.)=3,83</t>
  </si>
  <si>
    <t>Коммунальные инженерные сети и сооружения, 2012 г. Раздел 3.  Таблица 17. Квартальные, межквартальные, уличные кабельные электросети п.3
A=7.763 тыс.руб; B=0.042 тыс.руб;
Осн. показ. Х=150 (м) 
Количество = 1</t>
  </si>
  <si>
    <t>(A + B * Xзад) * Количество * Кст * Ктек * K2 * (1 + дроб.ч. K1)
(7763 руб + 42 руб * 150) * 1 * 0.6 * 3.83 * 1.4 * (1 + 0.1) * 0.905</t>
  </si>
  <si>
    <t>Объекты энергетики (ОАО РАО "ЕЭС России") 2003 г. 4.2 Отдельные виды работ для электросетей напряжением до 20 кВ. Таблица 30. Расчет токов короткого замыкания электрических сетей напряжением до 20 кВ п.1
B=0.80 тыс.руб;
Осн. показ. Х=2 (2 сеть) 
Количество = 2</t>
  </si>
  <si>
    <t>(A + B * Xзад) * Количество * Кст * Ктек
(0 руб + 800 руб * 2) * 1 * 0.50 * 3.83</t>
  </si>
  <si>
    <t>7593,21х2,4х1,2х 0,805х3,83</t>
  </si>
  <si>
    <t>10% от п.4</t>
  </si>
  <si>
    <t>Сумма от п.4 - 6</t>
  </si>
  <si>
    <t>Реконструкция ВЛ-0,4 кВ по ул. Чапаева и Зарубина и ул. Чапаева и Кутякова с переводом нагрузки с ТП-63 на строящуюся ТП по ул. Гоголя, д.63. КЛ-0,4 кВ от РУ-0,4 кВ ТП-63 до ШРС у ТП-63 с подключением под общие клеммы с существующим кабелем. 2КЛ-0,4 кВ от новой ТП по ул. Гоголя, д.63 до существующей стальной опоры №1-00/4 ВЛИ-0,4 кВ ТП-69</t>
  </si>
  <si>
    <t>Кабельные линии напряжением до 35 кВ. Интервалы протяженности до 100 м.</t>
  </si>
  <si>
    <t>Коммунальные инженерные сети и сооружения, 2012 г. Раздел 3.  Таблица 17. Квартальные, межквартальные, уличные кабельные электросети п.3
A=11,960 тыс.руб; 
Количество = 1</t>
  </si>
  <si>
    <t>Кст = 0.4</t>
  </si>
  <si>
    <t>(24.5% + 2.0% + 10.0% + 2.0% + 9.0% + 3.0% + 5.0%) = 55.5%</t>
  </si>
  <si>
    <t xml:space="preserve">(A + B * Xзад) * Количество * Кст * Ктек * K2 * (1 + дроб.ч. K1)
(11960руб*1*0,4*3,83*1,4*(1+0,1)*0,555 </t>
  </si>
  <si>
    <t>(A + B * Xзад) * Количество * Кст * Ктек
(0 руб + 800 руб * 1) * 1 * 0.50 * 3.83</t>
  </si>
  <si>
    <t>10</t>
  </si>
  <si>
    <t>Сумма от п.4 - 7</t>
  </si>
  <si>
    <t>Сумма от п.8-9</t>
  </si>
  <si>
    <t>Монтаж ВЛИ-0,4 кВ ТП-1486 от устанавливаемой пунктовой опоры до границы земельного участка, ул. Панфилова, б/н. Прокладка кабельного вывода от РУ-0,4 кВ ТП-1486 до устанавливаемой пунктовой опоры.</t>
  </si>
  <si>
    <t>"СОГЛАСОВАНО"</t>
  </si>
  <si>
    <t>"УТВЕРЖДАЮ"</t>
  </si>
  <si>
    <t>ПОДРЯДЧИК</t>
  </si>
  <si>
    <t>ЗАКАЗЧИК</t>
  </si>
  <si>
    <t xml:space="preserve">первый заместитель </t>
  </si>
  <si>
    <t>ООО "ГорЭнергоСервис"</t>
  </si>
  <si>
    <t>__________________А.Н. Куликов</t>
  </si>
  <si>
    <t xml:space="preserve">_________________Е.Н. Стрелин        </t>
  </si>
  <si>
    <t>Монтаж ВЛИ- 0,4кВ ТП-564 от существующей ж/б опоры №1-00/17 до границ земельного участка, ул. Зерновая, уч.28А</t>
  </si>
  <si>
    <t xml:space="preserve"> ВЛИ-0,4 кВ 
Общая стоимость                     строительства 399456,20                                             руб.,                                                                     в ценах 2001г.-61661,61 руб. </t>
  </si>
  <si>
    <t>СБЦ 2003г.                                               Раздел3.Табл.12 БЦП=4932,93; Раздел3.Табл.11п.1 стр.31  К1=2,4; Табл.11п.4 стр.31  К2=1,2;   К4=0,805; К5(удорож.)=3,83</t>
  </si>
  <si>
    <t>4932,93х2,4х1,2х0,805х3,83</t>
  </si>
  <si>
    <t>Монтаж ВЛИ- 0,4кВ ТП-347 от опоры №5-00/1 до опоры №4-00/13, ул. Старая Большая  Поливановка,  д. 66</t>
  </si>
  <si>
    <t xml:space="preserve"> ВЛИ-0,4 кВ 
Общая стоимость                     строительства 531616,53                                             руб.,                                                                     в ценах 2001г.-82062,39 руб. </t>
  </si>
  <si>
    <t>СБЦ 2003г.                                               Раздел3.Табл.12 БЦП=6565,00; Раздел3.Табл.11п.1 стр.31  К1=2,4; Табл.11п.4 стр.31  К2=1,2;   К4=0,805; К5(удорож.)=3,83</t>
  </si>
  <si>
    <t>6565,00х2,4х1,2х0,805х3,83</t>
  </si>
  <si>
    <t xml:space="preserve"> "_____" ________________ 2018 г.</t>
  </si>
  <si>
    <t xml:space="preserve"> "_____" _______________2018 г.</t>
  </si>
  <si>
    <t>Монтаж ВЛИ- 0,4кВ КТП-946 от опоры №2-01/3 до границы земельного участка, ул. Песчано-Уметская, б/н.</t>
  </si>
  <si>
    <t>НДС 20%</t>
  </si>
  <si>
    <t xml:space="preserve"> ВЛИ-0,4 кВ 
Общая стоимость                     строительства 108662,14                                             руб.,                                                                     в ценах 2001г.-16493,95 руб. </t>
  </si>
  <si>
    <t>СБЦ 2003г.                                               Раздел3.Табл.12 БЦП=1319,52; Раздел3.Табл.11п.1 стр.31  К1=2,4; Табл.11п.4 стр.31  К2=1,2;   К4=0,805; К5(удорож.)=3,83</t>
  </si>
  <si>
    <t>1319,52х2,4х1,2х0,805х3,83</t>
  </si>
  <si>
    <t>Монтаж ВЛИ- 0,4кВ от опоры №1-00/1 ТП-447 до опоры №1-00/6, ул. 1-я Поперечная и 1-я Линия.</t>
  </si>
  <si>
    <t xml:space="preserve"> ВЛИ-0,4 кВ 
Общая стоимость                     строительства 92282,48                                             руб.,                                                                     в ценах 2001г.-14007,67 руб. </t>
  </si>
  <si>
    <t>СБЦ 2003г.                                               Раздел3.Табл.12 БЦП=1120,62; Раздел3.Табл.11п.1 стр.31  К1=2,4; Табл.11п.4 стр.31  К2=1,2;   К4=0,805; К5(удорож.)=3,83</t>
  </si>
  <si>
    <t>1120,62х2,4х1,2х0,805х3,83</t>
  </si>
  <si>
    <t>От п.1-3</t>
  </si>
  <si>
    <t>п.4</t>
  </si>
  <si>
    <t>От п.4-5</t>
  </si>
  <si>
    <t>___________________________</t>
  </si>
  <si>
    <t>Монтаж ВЛИ- 0,4кВ ТП-206 от опоры №2-00/4 до опоры №2-00/11 и от опоры №2-00/4 до опоры №2-03/7, Утесный проезд, д.2-д.38.</t>
  </si>
  <si>
    <t xml:space="preserve"> ВЛИ-0,4 кВ 
Общая стоимость                     строительства 781967,57                                             руб.,                                                                     в ценах 2001г.-118695,75 руб. </t>
  </si>
  <si>
    <t>СБЦ 2003г.                                               Раздел3.Табл.12 БЦП=9495,66; Раздел3.Табл.11п.1 стр.31  К1=2,4; Табл.11п.4 стр.31  К2=1,2;   К4=0,805; К5(удорож.)=3,83</t>
  </si>
  <si>
    <t>9495,66х2,4х1,2х0,805х3,83</t>
  </si>
  <si>
    <t>__________________________________</t>
  </si>
  <si>
    <t>от п.1-5</t>
  </si>
  <si>
    <t>от п.6</t>
  </si>
  <si>
    <t>от п.6-7</t>
  </si>
  <si>
    <t xml:space="preserve"> "_____" ______________ 2018 г.</t>
  </si>
  <si>
    <t>__________________________</t>
  </si>
  <si>
    <t>Монтаж ВЛ-0,4кВ от РУ-0,4 кВ РП-Нагорный до энергопринимающего устройства заявителя, 5-ый Нагорный проезд,16</t>
  </si>
  <si>
    <r>
      <t xml:space="preserve"> ВЛИ-0,4 кВ 
</t>
    </r>
    <r>
      <rPr>
        <sz val="10"/>
        <rFont val="Arial"/>
        <family val="2"/>
        <charset val="204"/>
      </rPr>
      <t xml:space="preserve">Общая стоимость                     строительства 122500,21                                             руб.,                                                                     в ценах 2001г.-18594,44 руб. </t>
    </r>
  </si>
  <si>
    <t>СБЦ 2003г.                                               Раздел3.Табл.12 БЦП=1487,55; Раздел3.Табл.11п.1 стр.31  К1=2,4; Табл.11п.4 стр.31  К2=1,2;   К4=0,805; К5(удорож.)=3,83</t>
  </si>
  <si>
    <t>20% от п.8</t>
  </si>
  <si>
    <t>1487,55х2,4х1,2х0,805х3,83</t>
  </si>
  <si>
    <t>____________________</t>
  </si>
  <si>
    <t>сумма п.1-5</t>
  </si>
  <si>
    <t>20% п.6</t>
  </si>
  <si>
    <t>сумма п.6-7</t>
  </si>
  <si>
    <t>Приложение №_____к договору №_____от"___"__________________201  г.</t>
  </si>
  <si>
    <t xml:space="preserve"> "_____" ________________ 201   г.</t>
  </si>
  <si>
    <t xml:space="preserve"> "_____" _______________201   г.</t>
  </si>
  <si>
    <t>Монтаж ВЛИ- 0,4кВ от РУ-0,4 кВ ТП-1435 до границ земельного участка заявителя, 4-й Московский пр., б/н.</t>
  </si>
  <si>
    <t xml:space="preserve"> ВЛИ-0,4 кВ 
Общая стоимость                     строительства 201584,51                                             руб.,                                                                     в ценах 2001г.-30598,74 руб. </t>
  </si>
  <si>
    <t>СБЦ 2003г.                                               Раздел3.Табл.12 БЦП=2447,89; Раздел3.Табл.11п.1 стр.31  К1=2,4; Табл.11п.4 стр.31  К2=1,2;   К4=0,805; К5(удорож.)=3,83</t>
  </si>
  <si>
    <t>2447,89х2,4х1,2х0,805х3,83</t>
  </si>
  <si>
    <t>От п.1-5</t>
  </si>
  <si>
    <t>п.6</t>
  </si>
  <si>
    <t>От п.6-7</t>
  </si>
  <si>
    <t>(24.5% + 23.5% + 2.5% + 17.0% + 5.0% + 10.0%) = 82.5%</t>
  </si>
  <si>
    <t>(A + B * Xзад) * Количество * Кст * Ктек * K2 * (1 + дроб.ч. K1)
(11960руб*1*0,6*3,83*1,4*(1+0,1)*0,825</t>
  </si>
  <si>
    <r>
      <t xml:space="preserve"> ВЛИ-0,4 кВ 
</t>
    </r>
    <r>
      <rPr>
        <sz val="10"/>
        <rFont val="Arial"/>
        <family val="2"/>
        <charset val="204"/>
      </rPr>
      <t xml:space="preserve">Общая стоимость                     строительства 292392,22                                             руб.,                                                                     в ценах 2001г.-44382,55 руб. </t>
    </r>
  </si>
  <si>
    <t>СБЦ 2003г.                                               Раздел3.Табл.12 БЦП=3550,60; Раздел3.Табл.11п.1 стр.31  К1=2,4; Табл.11п.4 стр.31  К2=1,2;   К4=0,805; К5(удорож.)=3,83</t>
  </si>
  <si>
    <t>3550,60х2,4х1,2х0,805х3,83</t>
  </si>
  <si>
    <t xml:space="preserve">   Приложение  № _____ к договору № _______ от "____"_________________ 201 г. </t>
  </si>
  <si>
    <t xml:space="preserve"> "_____" ______________ 201  г.</t>
  </si>
  <si>
    <t>Монтаж ВЛ-0,4кВ от РУ-0,4 кВ ТП-1140 до ВРУ ж/д №3а, №5а, №7а, №9, №9а, №9б, ул. Зеркальная.</t>
  </si>
  <si>
    <t>Монтаж ВЛИ- 0,4кВ от опоры №1-01/1 ВЛИ-0,4 кВ  ТП-736 до границы земельного участка заявителя, Новосоколовогорский жилой район, уч.26.</t>
  </si>
  <si>
    <t xml:space="preserve"> ВЛИ-0,4 кВ 
Общая стоимость                     строительства 99013,55                                             руб.,                                                                     в ценах 2001г.-15029,38 руб. </t>
  </si>
  <si>
    <t>СБЦ 2003г.                                               Раздел3.Табл.12 БЦП=1202,35; Раздел3.Табл.11п.1 стр.31  К1=2,4; Табл.11п.4 стр.31  К2=1,2;   К4=0,805; К5(удорож.)=3,83</t>
  </si>
  <si>
    <t>1202,35х2,4х1,2х0,805х3,83</t>
  </si>
  <si>
    <t xml:space="preserve"> ВЛИ-0,4 кВ 
Общая стоимость                     строительства 241166,36                                             руб.,                                                                     в ценах 2001г.-36606,92 руб. </t>
  </si>
  <si>
    <t>СБЦ 2003г.                                               Раздел3.Табл.12 БЦП=2928,56; Раздел3.Табл.11п.1 стр.31  К1=2,4; Табл.11п.4 стр.31  К2=1,2;   К4=0,805; К5(удорож.)=3,83</t>
  </si>
  <si>
    <t>2928,56х2,4х1,2х0,805х3,83</t>
  </si>
  <si>
    <t>Монтаж ВЛИ- 0,4кВ ТП-1471 от опоры №3-00/3 до границы земельного участка заявителя, совхоз "Комбайн", Дудаковский овраг.</t>
  </si>
  <si>
    <t xml:space="preserve"> ВЛИ-0,4 кВ 
Общая стоимость                     строительства 97598,23                                             руб.,                                                                     в ценах 2001г.-14814,55 руб. </t>
  </si>
  <si>
    <t>СБЦ 2003г.                                               Раздел3.Табл.12 БЦП=1185,17; Раздел3.Табл.11п.1 стр.31  К1=2,4; Табл.11п.4 стр.31  К2=1,2;   К4=0,805; К5(удорож.)=3,83</t>
  </si>
  <si>
    <t>1185,17х2,4х1,2х0,805х3,83</t>
  </si>
  <si>
    <t>Монтаж ВЛИ- 0,4кВ РП-Поливановский от опоры №3-00/14 до концевой опоры , ул. Тургенева, д.4/5-д.4/8.</t>
  </si>
  <si>
    <t xml:space="preserve"> "_____" _______________ 201  г.</t>
  </si>
  <si>
    <t xml:space="preserve"> "_____" __________________ 201  г.</t>
  </si>
  <si>
    <r>
      <t xml:space="preserve"> ВЛИ-0,4 кВ 
</t>
    </r>
    <r>
      <rPr>
        <sz val="10"/>
        <rFont val="Arial"/>
        <family val="2"/>
        <charset val="204"/>
      </rPr>
      <t xml:space="preserve">Общая стоимость                     строительства 135632,84                                             руб.,                                                                     в ценах 2001г.-20936,80 руб. </t>
    </r>
  </si>
  <si>
    <t>СБЦ 2003г.                                               Раздел3.Табл.12 БЦП=1674,94; Раздел3.Табл.11п.1 стр.31  К1=2,4; Табл.11п.4 стр.31  К2=1,2;   К4=0,805; К5(удорож.)=3,83</t>
  </si>
  <si>
    <t>1674,94х2,4х1,2х 0,805х3,83</t>
  </si>
  <si>
    <t xml:space="preserve"> ВЛИ-0,4 кВ 
Общая стоимость                     строительства 178281,95                                             руб.,                                                                     в ценах 2001г.-27061,62 руб. </t>
  </si>
  <si>
    <t>СБЦ 2003г.                                               Раздел3.Табл.12 БЦП=2164,93; Раздел3.Табл.11п.1 стр.31  К1=2,4; Табл.11п.4 стр.31  К2=1,2;   К4=0,805; К5(удорож.)=3,83</t>
  </si>
  <si>
    <t>2164,93х2,4х1,2х0,805х3,83</t>
  </si>
  <si>
    <t>Монтаж ВЛИ- 0,4кВ КТП-725 от опоры №3-11/17 до границы земельного участка заявителя, пос. 2-й Мирный, б/н</t>
  </si>
  <si>
    <t xml:space="preserve">_________________С.В. Козин     </t>
  </si>
  <si>
    <t>ЗАО "СПГЭС"</t>
  </si>
  <si>
    <t xml:space="preserve"> ВЛИ-0,4 кВ 
Общая стоимость                     строительства 72271,60                                             руб.,                                                                     в ценах 2001г.-10970,19руб. </t>
  </si>
  <si>
    <t>СБЦ 2003г.                                               Раздел3.Табл.12 БЦП=877,62; Раздел3.Табл.11п.1 стр.31  К1=2,4; Табл.11п.4 стр.31  К2=1,2;   К4=0,805; К5(удорож.)=4,09</t>
  </si>
  <si>
    <t>877,62х2,4х1,2х0,805х4,09</t>
  </si>
  <si>
    <t>Монтаж ВЛИ- 0,4кВ ТП-729 от опоры №2-02/12 до границы земельного участка заявителя, пос. Нижняя Стрелковка, уч.29</t>
  </si>
  <si>
    <t xml:space="preserve"> "_____" _______________ 2019 г.</t>
  </si>
  <si>
    <t xml:space="preserve"> "_____" ________________ 2019 г.</t>
  </si>
  <si>
    <t>Приложение №_____к договору №_____от"___"__________________2019 г.</t>
  </si>
  <si>
    <t xml:space="preserve"> ВЛИ-0,4 кВ 
Общая стоимость                     строительства 87213,11                                             руб.,                                                                     в ценах 2001г.-13238,18руб. </t>
  </si>
  <si>
    <t>СБЦ 2003г.                                               Раздел3.Табл.12 БЦП=1059,06; Раздел3.Табл.11п.1 стр.31  К1=2,4; Табл.11п.4 стр.31  К2=1,2;   К4=0,805; К5(удорож.)=4,09</t>
  </si>
  <si>
    <t>1059,06х2,4х1,2х0,805х4,09</t>
  </si>
  <si>
    <t xml:space="preserve"> ВЛИ-0,4 кВ 
Общая стоимость                     строительства 104069,04                                             руб.,                                                                     в ценах 2001г.-15796,76руб. </t>
  </si>
  <si>
    <t>СБЦ 2003г.                                               Раздел3.Табл.12 БЦП=1263,75; Раздел3.Табл.11п.1 стр.31  К1=2,4; Табл.11п.4 стр.31  К2=1,2;   К4=0,805; К5(удорож.)=4,09</t>
  </si>
  <si>
    <t>1263,75х2,4х1,2х0,805х4,09</t>
  </si>
  <si>
    <t>Монтаж ВЛИ- 0,4кВ ТП-217 от опоры №1-01/9 до границы земельного участка заявителя, ул. Тракторная,18</t>
  </si>
  <si>
    <t xml:space="preserve"> ВЛИ-0,4 кВ 
Общая стоимость                     строительства 217318,94                                             руб.,                                                                     в ценах 2001г.-32987,09руб. </t>
  </si>
  <si>
    <t>СБЦ 2003г.                                               Раздел3.Табл.12 БЦП=2638,97; Раздел3.Табл.11п.1 стр.31  К1=2,4; Табл.11п.4 стр.31  К2=1,2;   К4=0,805; К5(удорож.)=4,09</t>
  </si>
  <si>
    <t>2638,97х2,4х1,2х0,805х4,09</t>
  </si>
  <si>
    <t>Монтаж ВЛИ- 0,4кВ ТП-227 от опоры №1-06/6 до границы земельного участка заявителя, пр. Заводской, д.2/19</t>
  </si>
  <si>
    <t xml:space="preserve"> ВЛИ-0,4 кВ 
Общая стоимость                     строительства 177904,56                                             руб.,                                                                     в ценах 2001г.-27004,34руб. </t>
  </si>
  <si>
    <t>СБЦ 2003г.                                               Раздел3.Табл.12 БЦП=2160,35; Раздел3.Табл.11п.1 стр.31  К1=2,4; Табл.11п.4 стр.31  К2=1,2;   К4=0,805; К5(удорож.)=4,09</t>
  </si>
  <si>
    <t>2160,35х2,4х1,2х0,805х4,09</t>
  </si>
  <si>
    <t>Монтаж ВЛИ- 0,4кВ ТП-191 от опоры №1-01/1 до опоры №1-01/2, ул. Широкая, з/у №25к</t>
  </si>
  <si>
    <t>Монтаж ВЛИ- 0,4кВ ТП-550 от опоры №1-00/8 до концевой опоры, ул. 2-я Елшанская.              Монтаж ВЛИ-0,4кВ от РУ-0,4кВ ТП-550 до пунктовой опоры №1-00/1 ВЛИ-0,4кВ ТП-550, ул. 2-я Елшанская</t>
  </si>
  <si>
    <t xml:space="preserve"> ВЛИ-0,4 кВ 
Общая стоимость                     строительства 18397,01                                             руб.,                                                                     в ценах 2001г.-2792,51руб. </t>
  </si>
  <si>
    <t>СБЦ 2003г.                                               Раздел3.Табл.12 БЦП=223,40; Раздел3.Табл.11п.1 стр.31  К1=2,4; Табл.11п.4 стр.31  К2=1,2;   К4=0,805; К5(удорож.)=4,09</t>
  </si>
  <si>
    <t>223,40х2,4х1,2х0,805х4,09</t>
  </si>
  <si>
    <t>Шокурова Ю.Н._____________________</t>
  </si>
  <si>
    <t>Монтаж ВЛИ- 0,4кВ от опоры №1-01/3 до №1-03/1 РП-Комсомольский, 1-й Крекингский проезд, з/у 4</t>
  </si>
  <si>
    <t xml:space="preserve"> ВЛИ-0,4 кВ 
Общая стоимость                     строительства 218798,59                                             руб.,                                                                     в ценах 2001г.-33211,69руб. </t>
  </si>
  <si>
    <t>СБЦ 2003г.                                               Раздел3.Табл.12 БЦП=2656,94; Раздел3.Табл.11п.1 стр.31  К1=2,4; Табл.11п.4 стр.31  К2=1,2;   К4=0,805; К5(удорож.)=4,09</t>
  </si>
  <si>
    <t>2656,94х2,4х1,2х0,805х4,09</t>
  </si>
  <si>
    <t>Шокурова Ю.Н.______________________</t>
  </si>
  <si>
    <t>Монтаж ВЛИ- 0,4кВ ТП-1471 от опоры №1-00/11 до границы земельного участка заявителя, совхоз "Комбайн", участок №3</t>
  </si>
  <si>
    <t>Ктек = 4,09
Письмо Минстроя России от 04.04.2018 №13606-ХМ/09</t>
  </si>
  <si>
    <t>(A + B * Xзад) * Количество * Кст * Ктек * K2 * (1 + дроб.ч. K1)
(11960руб*1*0,6*4,09*1,4*(1+0,1)*0,825</t>
  </si>
  <si>
    <r>
      <t xml:space="preserve"> ВЛИ-0,4 кВ 
</t>
    </r>
    <r>
      <rPr>
        <sz val="10"/>
        <rFont val="Arial"/>
        <family val="2"/>
        <charset val="204"/>
      </rPr>
      <t xml:space="preserve">Общая стоимость                     строительства 402127,93                                             руб.,                                                                     в ценах 2001г.-61039,46 руб. </t>
    </r>
  </si>
  <si>
    <t>СБЦ 2003г.                                               Раздел3.Табл.12 БЦП=4883,16; Раздел3.Табл.11п.1 стр.31  К1=2,4; Табл.11п.4 стр.31  К2=1,2;   К4=0,805; К5(удорож.)=4,09</t>
  </si>
  <si>
    <t>4883,16х2,4х1,2х0,805х4,09</t>
  </si>
  <si>
    <t>(A + B * Xзад) * Количество * Кст * Ктек
(0 руб + 800 руб * 1) * 1 * 0.50 * 4,09</t>
  </si>
  <si>
    <t>Прокладка кабельного вывода КЛ-0,4 кВ от РУ-0,4 кВ ТП-1332 до пунктовой опоры. Монтаж ВЛИ-0,4 кВ от пунктовой опоры ТП-1332 до границы земельного участка заявителя., ул. Чернышевского, 100</t>
  </si>
  <si>
    <t xml:space="preserve"> ВЛИ-0,4 кВ 
Общая стоимость                     строительства 45849,44                                             руб.,                                                                     в ценах 2001г.-6959,54руб. </t>
  </si>
  <si>
    <t>Монтаж ВЛИ- 0,4кВ ТП-160 от опоры №2-03/8 до границы земельного участка заявителя, ул. Тагильская, участок №27 в Новосоколовогорском районе.</t>
  </si>
  <si>
    <t>СБЦ 2003г.                                               Раздел3.Табл.12 БЦП=556,77; Раздел3.Табл.11п.1 стр.31  К1=2,4; Табл.11п.4 стр.31  К2=1,2;   К4=0,805; К5(удорож.)=4,15</t>
  </si>
  <si>
    <t>556,77х2,4х1,2х0,805х4,15</t>
  </si>
  <si>
    <t>Срп(п)=(а+вх)*К2(1)*    *Кинд *К3           (0+800*1)*0,5*4,15</t>
  </si>
  <si>
    <r>
      <t xml:space="preserve"> ВЛИ-0,4 кВ 
</t>
    </r>
    <r>
      <rPr>
        <sz val="10"/>
        <rFont val="Arial"/>
        <family val="2"/>
        <charset val="204"/>
      </rPr>
      <t xml:space="preserve">Общая стоимость                     строительства 9774,64                                             руб.,                                                                     в ценах 2001г.-1483,71 руб. </t>
    </r>
  </si>
  <si>
    <t>СБЦ 2003г.                                               Раздел3.Табл.12 БЦП=118,70; Раздел3.Табл.11п.1 стр.31  К1=2,4; Табл.11п.4 стр.31  К2=1,2;   К4=0,805; К5(удорож.)=4,15</t>
  </si>
  <si>
    <t>118,70х2,4х1,2х0,805х4,15</t>
  </si>
  <si>
    <t>Ктек = 4,15
Письмо Минстроя России от 04.04.2018 №13606-ХМ/09</t>
  </si>
  <si>
    <t>(A + B * Xзад) * Количество * Кст * Ктек * K2 * (1 + дроб.ч. K1)
(11960руб*1*0,6*4,15*1,4*(1+0,1)*0,825</t>
  </si>
  <si>
    <t>(A + B * Xзад) * Количество * Кст * Ктек
(0 руб + 800 руб * 1) * 1 * 0.50 * 4,15</t>
  </si>
  <si>
    <t>Монтаж КЛ-0,4 кВ (СИП) от опоры №2-01/3 ТП-725 до энергопринимающего устройства (ВРУ) на границе земельного участка, п. Мирный, СТ "Геофизик-59"</t>
  </si>
  <si>
    <t>Монтаж ВЛИ- 0,4кВ ТП-1371 от опоры №3-00/18 до опоры №3-00/20, пос. Жасминный, б/н</t>
  </si>
  <si>
    <t xml:space="preserve"> ВЛИ-0,4 кВ 
Общая стоимость                     строительства 67726,98                                             руб.,                                                                     в ценах 2001г.-10280,36руб. </t>
  </si>
  <si>
    <t>СБЦ 2003г.                                               Раздел3.Табл.12 БЦП=822,43; Раздел3.Табл.11п.1 стр.31  К1=2,4; Табл.11п.4 стр.31  К2=1,2;   К4=0,805; К5(удорож.)=4,15</t>
  </si>
  <si>
    <t>822,43х2,4х1,2х0,805х4,15</t>
  </si>
  <si>
    <t xml:space="preserve"> ВЛИ-0,4 кВ 
Общая стоимость                     строительства 270361,51                                             руб.,                                                                     в ценах 2001г.-41038,48руб. </t>
  </si>
  <si>
    <t>СБЦ 2003г.                                               Раздел3.Табл.12 БЦП=3283,08; Раздел3.Табл.11п.1 стр.31  К1=2,4; Табл.11п.4 стр.31  К2=1,2;   К4=0,805; К5(удорож.)=4,15</t>
  </si>
  <si>
    <t>3283,08х2,4х1,2х0,805х4,15</t>
  </si>
  <si>
    <t>Монтаж ВЛИ- 0,4кВ от опоры №1-02/2 ВЛИ-0,4кВ КТП-787 до границы земельного участка заявителя, Расковское МО, на землях АПО "Нитрон-Агро" в районе п. Расково, уч. №19</t>
  </si>
  <si>
    <t xml:space="preserve"> ВЛИ-0,4 кВ 
Общая стоимость                     строительства 208474,90                                             руб.,                                                                     в ценах 2001г.-31644,64руб. </t>
  </si>
  <si>
    <t>СБЦ 2003г.                                               Раздел3.Табл.12 БЦП=2531,58; Раздел3.Табл.11п.1 стр.31  К1=2,4; Табл.11п.4 стр.31  К2=1,2;   К4=0,805; К5(удорож.)=4,15</t>
  </si>
  <si>
    <t>2531,58х2,4х1,2х0,805х4,15</t>
  </si>
  <si>
    <t>Монтаж ВЛИ- 0,4кВ РП-Питомник от опоры №1-00/10 ВЛИ-0,4кВ до границы земельного участка заявителя, тер-я Совхоза ЦДК, участок 3 "а"</t>
  </si>
  <si>
    <t xml:space="preserve"> ВЛИ-0,4 кВ 
Общая стоимость                     строительства 190749,61                                             руб.,                                                                     в ценах 2001г.-28954,10руб. </t>
  </si>
  <si>
    <t>СБЦ 2003г.                                               Раздел3.Табл.12 БЦП=2316,33; Раздел3.Табл.11п.1 стр.31  К1=2,4; Табл.11п.4 стр.31  К2=1,2;   К4=0,805; К5(удорож.)=4,15</t>
  </si>
  <si>
    <t>2316,33х2,4х1,2х0,805х4,15</t>
  </si>
  <si>
    <t>Проектирование ВЛИ- 0,4кВ от ШРС-2 ТП-1427 до торгового киоска, Ново-Астраханское шоссе, у дома №57</t>
  </si>
  <si>
    <t xml:space="preserve"> ВЛИ-0,4 кВ 
Общая стоимость                     строительства 170984,75                                             руб.,                                                                     в ценах 2001г.-25953,97руб. </t>
  </si>
  <si>
    <t>СБЦ 2003г.                                               Раздел3.Табл.12 БЦП=2076,32; Раздел3.Табл.11п.1 стр.31  К1=2,4; Табл.11п.4 стр.31  К2=1,2;   К4=0,805; К5(удорож.)=4,15</t>
  </si>
  <si>
    <t>2076,32х2,4х1,2х0,805х4,15</t>
  </si>
  <si>
    <t>Проектирование ВЛИ- 0,4кВ ТП-616 от опоры №4-06/8 до границы земельного участка заявителя, ул. Зеленоостровская д. 18 В, Д, Г, Е.</t>
  </si>
  <si>
    <t xml:space="preserve"> ВЛИ-0,4 кВ 
Общая стоимость                     строительства 70564,67                                             руб.,                                                                     в ценах 2001г.-10711,10руб. </t>
  </si>
  <si>
    <t>СБЦ 2003г.                                               Раздел3.Табл.12 БЦП=856,89; Раздел3.Табл.11п.1 стр.31  К1=2,4; Табл.11п.4 стр.31  К2=1,2;   К4=0,805; К5(удорож.)=4,15</t>
  </si>
  <si>
    <t>856,89х2,4х1,2х0,805х4,15</t>
  </si>
  <si>
    <t>Проектирование ВЛИ- 0,4кВ ТП-193 от опоры №2-03/5 до границы земельного участка заявителя, Ленинский район, С/Т "Трамплин", уч.74</t>
  </si>
  <si>
    <t xml:space="preserve"> ВЛИ-0,4 кВ 
Общая стоимость                     строительства 209921,95                                             руб.,                                                                     в ценах 2001г.-31864,30руб. </t>
  </si>
  <si>
    <t>СБЦ 2003г.                                               Раздел3.Табл.12 БЦП=2549,15; Раздел3.Табл.11п.1 стр.31  К1=2,4; Табл.11п.4 стр.31  К2=1,2;   К4=0,805; К5(удорож.)=4,15</t>
  </si>
  <si>
    <t>2549,15х2,4х1,2х0,805х4,15</t>
  </si>
  <si>
    <t>Проектирование реконструкции ВЛИ- 0,4кВ ТП-1426 от опоры №1-00/6 до опоры №1-03/5, 4-ый Карьерный проезд, д.3</t>
  </si>
  <si>
    <t>Проектирование ВЛИ- 0,4кВ ТП-1471 от опоры №1-02/3 до границы земельного участка заявителя, совхоз "Комбайн".</t>
  </si>
  <si>
    <t xml:space="preserve"> ВЛИ-0,4 кВ 
Общая стоимость                     строительства 81854,05                                             руб.,                                                                     в ценах 2001г.-12424,72руб. </t>
  </si>
  <si>
    <t>СБЦ 2003г.                                               Раздел3.Табл.12 БЦП=993,98; Раздел3.Табл.11п.1 стр.31  К1=2,4; Табл.11п.4 стр.31  К2=1,2;   К4=0,805; К5(удорож.)=4,15</t>
  </si>
  <si>
    <t>993,98х2,4х1,2х0,805х4,15</t>
  </si>
  <si>
    <t>Проектирование ВЛИ- 0,4кВ КТП-690 от опоры №1-01/11 до границы земельного участка заявителя, пос. Северный, б/н</t>
  </si>
  <si>
    <t xml:space="preserve"> ВЛИ-0,4 кВ 
Общая стоимость                     строительства 181116,17                                             руб.,                                                                     в ценах 2001г.-27491,83руб. </t>
  </si>
  <si>
    <t>СБЦ 2003г.                                               Раздел3.Табл.12 БЦП=2199,35; Раздел3.Табл.11п.1 стр.31  К1=2,4; Табл.11п.4 стр.31  К2=1,2;   К4=0,805; К5(удорож.)=4,15</t>
  </si>
  <si>
    <t>2199,35х2,4х1,2х0,805х4,15</t>
  </si>
  <si>
    <t xml:space="preserve"> ВЛИ-0,4 кВ 
Общая стоимость                     строительства 102577,92                                             руб.,                                                                     в ценах 2001г.-15570,42руб. </t>
  </si>
  <si>
    <t>СБЦ 2003г.                                               Раздел3.Табл.12 БЦП=1245,64; Раздел3.Табл.11п.1 стр.31  К1=2,4; Табл.11п.4 стр.31  К2=1,2;   К4=0,805; К5(удорож.)=4,21</t>
  </si>
  <si>
    <t>1245,64х2,4х1,2х0,805х4,21</t>
  </si>
  <si>
    <t>Срп(п)=(а+вх)*К2(1)*    *Кинд *К3           (0+800*1)*0,5*4,21</t>
  </si>
  <si>
    <t>Проектирование ВЛИ- 0,4кВ ТП-322 от опоры №1-01/23 до границы земельного участка заявителя, 6-й Динамовский проезд</t>
  </si>
  <si>
    <t xml:space="preserve"> ВЛИ-0,4 кВ 
Общая стоимость                     строительства 291114,11                                             руб.,                                                                     в ценах 2001г.-44188,55руб. </t>
  </si>
  <si>
    <t>СБЦ 2003г.                                               Раздел3.Табл.12 БЦП=3535,09; Раздел3.Табл.11п.1 стр.31  К1=2,4; Табл.11п.4 стр.31  К2=1,2;   К4=0,805; К5(удорож.)=4,21</t>
  </si>
  <si>
    <t>3535,09х2,4х1,2х0,805х4,21</t>
  </si>
  <si>
    <t>Проектирование ВЛИ- 0,4кВ от опоры №3-1/22 ВЛИ- 0,4кВ ТП-1358 до границы земельного участка заявителя, пос. Есиповка, уч.33</t>
  </si>
  <si>
    <t xml:space="preserve"> ВЛИ-0,4 кВ 
Общая стоимость                     строительства 78072,55                                             руб.,                                                                     в ценах 2001г.-11850,73руб. </t>
  </si>
  <si>
    <t>СБЦ 2003г.                                               Раздел3.Табл.12 БЦП=948,06 Раздел3.Табл.11п.1 стр.31  К1=2,4; Табл.11п.4 стр.31  К2=1,2;   К4=0,805; К5(удорож.)=4,21</t>
  </si>
  <si>
    <t>948,06х2,4х1,2х0,805х4,21</t>
  </si>
  <si>
    <t>Проектирование ВЛИ- 0,4кВ РП-Кардан от опоры №1-00/15 до границы земельного участка заявителя, Волжский район, Нижний Прохладный пр-д, з/у №35.</t>
  </si>
  <si>
    <t xml:space="preserve"> ВЛИ-0,4 кВ 
Общая стоимость                     строительства 158028,01                                             руб.,                                                                     в ценах 2001г.-23987,26руб. </t>
  </si>
  <si>
    <t>СБЦ 2003г.                                               Раздел3.Табл.12 БЦП=1918,99 Раздел3.Табл.11п.1 стр.31  К1=2,4; Табл.11п.4 стр.31  К2=1,2;   К4=0,805; К5(удорож.)=4,21</t>
  </si>
  <si>
    <t>1918,99х2,4х1,2х0,805х4,21</t>
  </si>
  <si>
    <t>Проектирование реконструкции ВЛИ-0,4 кВ ТП-110 от опоры №01-00/1 до №01-09/5, пос. М. Поливановка, д.61б</t>
  </si>
  <si>
    <t>Проектирование реконструкции ВЛИ-0,4 кВ ТП-1121 от опоры №02-01/6 до №02-03/3, 5-я Дачная, д.10Б</t>
  </si>
  <si>
    <t xml:space="preserve"> ВЛИ-0,4 кВ 
Общая стоимость                     строительства 63131,68                                             руб.,                                                                     в ценах 2001г.-9582,83руб. </t>
  </si>
  <si>
    <t>СБЦ 2003г.                                               Раздел3.Табл.12 БЦП=766,63 Раздел3.Табл.11п.1 стр.31  К1=2,4; Табл.11п.4 стр.31  К2=1,2;   К4=0,805; К5(удорож.)=4,21</t>
  </si>
  <si>
    <t>766,63 х2,4х1,2х0,805х4,21</t>
  </si>
  <si>
    <t xml:space="preserve"> ВЛИ-0,4 кВ 
Общая стоимость                     строительства 99166,74                                             руб.,                                                                     в ценах 2001г.-15052,64руб. </t>
  </si>
  <si>
    <t>СБЦ 2003г.                                               Раздел3.Табл.12 БЦП=1204,22 Раздел3.Табл.11п.1 стр.31  К1=2,4; Табл.11п.4 стр.31  К2=1,2;   К4=0,805; К5(удорож.)=4,21</t>
  </si>
  <si>
    <t>1204,22х2,4х1,2х0,805х4,21</t>
  </si>
  <si>
    <t>Проектирование ВЛИ-0,4 кВ ТП-568 от опоры №01-09/5 до границы земельного участка, Соколовая гора, Алексеевский овраг, СНТ "Рассвет", участок №16</t>
  </si>
  <si>
    <t>Проектирование реконструкции ВЛИ-0,4 кВ ТП-1033 от опоры №1-00/1 до опоры №1/00/10. ВЛИ-0,4кВ от опоры №1-00/7 до границы земельного участка, ул. Лунная д.2/6</t>
  </si>
  <si>
    <t>3411,16х2,4х1,2х0,805х4,21</t>
  </si>
  <si>
    <t>СБЦ 2003г.                                               Раздел3.Табл.12 БЦП=3411,16 Раздел3.Табл.11п.1 стр.31  К1=2,4; Табл.11п.4 стр.31  К2=1,2;   К4=0,805; К5(удорож.)=4,21</t>
  </si>
  <si>
    <t xml:space="preserve"> ВЛИ-0,4 кВ 
Общая стоимость                     строительства 280908,29                                             руб.,                                                                     в ценах 2001г.-42639,39руб. </t>
  </si>
  <si>
    <t xml:space="preserve"> ВЛИ-0,4 кВ 
Общая стоимость                     строительства 106469,02                                             руб.,                                                                     в ценах 2001г.-16161,06руб. </t>
  </si>
  <si>
    <t>СБЦ 2003г.                                               Раздел3.Табл.12 БЦП=1292,89 Раздел3.Табл.11п.1 стр.31  К1=2,4; Табл.11п.4 стр.31  К2=1,2;   К4=0,805; К5(удорож.)=4,21</t>
  </si>
  <si>
    <t>1292,89х2,4х1,2х0,805х4,21</t>
  </si>
  <si>
    <t>Проектирование реконструкции ВЛИ-0,4 кВ ТП-1471 от опоры №1-00/4 до опоры №02-01/3, совхоз "Комбайн", СНТ Весна-98"</t>
  </si>
  <si>
    <t xml:space="preserve"> ВЛИ-0,4 кВ 
Общая стоимость                     строительства 93883,72                                             руб.,                                                                     в ценах 2001г.-14250,72руб. </t>
  </si>
  <si>
    <t>СБЦ 2003г.                                               Раздел3.Табл.12 БЦП=1140,06 Раздел3.Табл.11п.1 стр.31  К1=2,4; Табл.11п.4 стр.31  К2=1,2;   К4=0,805; К5(удорож.)=4,21</t>
  </si>
  <si>
    <t>1140,06х2,4х1,2х0,805х4,21</t>
  </si>
  <si>
    <t>Приложение №_____к договору №_____от"___"__________________2020 г.</t>
  </si>
  <si>
    <t xml:space="preserve"> "_____" ________________ 2020 г.</t>
  </si>
  <si>
    <t xml:space="preserve"> "_____" _______________ 2020 г.</t>
  </si>
  <si>
    <t>Проектирование реконструкции ВЛИ-0,4 кВ ТП-562 от опоры №1-00/2 до опоры №1-13/4, ул. 1-я Гуселка, Семхоз, д. №12В</t>
  </si>
  <si>
    <t xml:space="preserve"> ВЛИ-0,4 кВ 
Общая стоимость                     строительства 46392,16                                             руб.,                                                                     в ценах 2001г.-7041,92руб. </t>
  </si>
  <si>
    <t>СБЦ 2003г.                                               Раздел3.Табл.12 БЦП=563,36 Раздел3.Табл.11п.1 стр.31  К1=2,4; Табл.11п.4 стр.31  К2=1,2;   К4=0,805; К5(удорож.)=4,21</t>
  </si>
  <si>
    <t>563,36х2,4х1,2х0,805х4,21</t>
  </si>
  <si>
    <t>п.5</t>
  </si>
  <si>
    <t>От п.5-6</t>
  </si>
  <si>
    <t>Проектирование ВЛИ-0,4 кВ ТП-110 от опоры №3-00/9 до границы земельного участка, ул. 9-я Дачная, з/у №29Б</t>
  </si>
  <si>
    <t xml:space="preserve">   Приложение  № _____ к договору № _______ от "____"_________________ 2020 г. </t>
  </si>
  <si>
    <t xml:space="preserve"> "_____" ______________ 2020 г.</t>
  </si>
  <si>
    <r>
      <t xml:space="preserve"> ВЛИ-0,4 кВ 
</t>
    </r>
    <r>
      <rPr>
        <sz val="10"/>
        <rFont val="Arial"/>
        <family val="2"/>
        <charset val="204"/>
      </rPr>
      <t xml:space="preserve">Общая стоимость                     строительства 810960,77                                             руб.,                                                                     в ценах 2001г.-123096,66 руб. </t>
    </r>
  </si>
  <si>
    <t>Проектирование реконструкции ВЛИ-0,4 кВ ТП-1010 от опоры №1-00/2 до опоры №1-01/6 по ул. Курская, от опоры №1-00/4 до опоры №1-02/7 по ул. Орловская, от опоры №1-00/6 по ул. Спортивная до опоры №1-04/7 по ул. Родниковая.</t>
  </si>
  <si>
    <t>Коммунальные инженерные сети и сооружения, 2012 г. Раздел 3.  Таблица 17. Квартальные, межквартальные, уличные кабельные электросети п.3
A=7.763 тыс.руб; B=0.042 тыс.руб;
Осн. показ. Х=120 (м) 
Количество = 1</t>
  </si>
  <si>
    <t>Проектирование реконструкции ВЛИ-0,4 кВ ТП-1405 от РУ-0,4 кВ ТП-1405, между ул. Вологодская и ул. Пр. Энтузиастов, между ул. Азина и ул. Васильковская</t>
  </si>
  <si>
    <t>Проектирование реконструкции ВЛИ-0,4 кВ от ТП-44 РУ-0,4кВ от опоры №1-02/15 до опоры №1-02/18 по ул. Новоастраханская, д.1-9, от опоры №1-02/18 до опоры №1-02/22 по ул. Большая Садовая, д.23-35 и от опоры №1-02/14 до опоры №1-02/2 по 1-му Кольцевому пр.д.15-25, в связи с переводом нагрузок с РП-Силикатный на ТП-44</t>
  </si>
  <si>
    <r>
      <t xml:space="preserve"> ВЛИ-0,4 кВ 
</t>
    </r>
    <r>
      <rPr>
        <sz val="10"/>
        <rFont val="Arial"/>
        <family val="2"/>
        <charset val="204"/>
      </rPr>
      <t xml:space="preserve">Общая стоимость                     строительства 458511,54                                            руб.,                                                                     в ценах 2001г.-69597,99 руб. </t>
    </r>
  </si>
  <si>
    <t>Ктек = 4,27
Письмо Минстроя России от 09.12.2019 №46999-ДВ/09</t>
  </si>
  <si>
    <t>СБЦ 2003г.                                               Раздел3.Табл.12 БЦП=9847,74; Раздел3.Табл.11п.1 стр.31  К1=2,4; Табл.11п.4 стр.31  К2=1,2;   К4=0,805; К5(удорож.)=4,27</t>
  </si>
  <si>
    <t>9847,74х2,4х1,2х0,805х4,27</t>
  </si>
  <si>
    <t>(A + B * Xзад) * Количество * Кст * Ктек
(0 руб + 800 руб * 1) * 1 * 0.50 * 4,27</t>
  </si>
  <si>
    <t>СБЦ 2003г.                                               Раздел3.Табл.12 БЦП=5567,84; Раздел3.Табл.11п.1 стр.31  К1=2,4; Табл.11п.4 стр.31  К2=1,2;   К4=0,805; К5(удорож.)=4,27</t>
  </si>
  <si>
    <t>5567,84х2,4х1,2х0,805х4,27</t>
  </si>
  <si>
    <t>Срп(п)=(а+вх)*К2(1)*    *Кинд *К3           (0+800*1)*0,5*4,27</t>
  </si>
  <si>
    <t>(24.5% + 23.5% + 2.5% + 17.0% + 5.0% + 10.0%) = 77.5%</t>
  </si>
  <si>
    <t>(A + B * Xзад) * Количество * Кст * Ктек * K2 * (1 + дроб.ч. K1)
(11960руб*1*0,6*4,27*1,4*(1+0,1)*0,775</t>
  </si>
  <si>
    <t>(A + B * Xзад) * Количество * Кст * Ктек * K2 * (1 + дроб.ч. K1)
(7763 руб + 42 руб * 120) * 1 * 0.6 * 4,27 * 1.4 * (1 + 0.1) * 0,775</t>
  </si>
  <si>
    <t xml:space="preserve"> ВЛИ-0,4 кВ 
Общая стоимость                     строительства 1056769,50                                             руб.,                                                                     в ценах 2001г.-160408,25руб. </t>
  </si>
  <si>
    <t>СБЦ 2003г.                                               Раздел3.Табл.12 БЦП=12832,66 Раздел3.Табл.11п.1 стр.31  К1=2,4; Табл.11п.4 стр.31  К2=1,2;   К4=0,805; К5(удорож.)=4,32</t>
  </si>
  <si>
    <t>12832,66х2,4х1,2х0,805х4,32</t>
  </si>
  <si>
    <t>Срп(п)=(а+вх)*К2(1)*    *Кинд *К3           (0+800*2)*0,5*4,32</t>
  </si>
  <si>
    <t>Проектирование реконструкции ВЛИ-0,4 кВ ТП-410 от опоры №1-00/9 до опоры №2-00/8 по  3-му Терновому пр., от опоры №2-03/6 до опоры №2-00/10 по 4-му Терновому пр., от опоры №2-03/6 до опоры №2-07/3 и от опоры №2-03/5 до опоры №2-04/1 по 3-му пр. Блинова.</t>
  </si>
  <si>
    <t xml:space="preserve"> ВЛИ-0,4 кВ 
Общая стоимость                     строительства 203899,87                                             руб.,                                                                     в ценах 2001г.-30950,20руб. </t>
  </si>
  <si>
    <t>СБЦ 2003г.                                               Раздел3.Табл.12 БЦП=2476,02 Раздел3.Табл.11п.1 стр.31  К1=2,4; Табл.11п.4 стр.31  К2=1,2;   К4=0,805; К5(удорож.)=4,32</t>
  </si>
  <si>
    <t>2476,02х2,4х1,2х0,805х4,32</t>
  </si>
  <si>
    <t>Срп(п)=(а+вх)*К2(1)*    *Кинд *К3           (0+800*1)*0,5*4,32</t>
  </si>
  <si>
    <t>Проектирование ВЛИ-0,4 кВ ТП-997 от опоры №2-02/12 до границы земельного участка заявителя, ул. Зерновая</t>
  </si>
  <si>
    <t>10791,13х2,4х1,2х0,805х4,27</t>
  </si>
  <si>
    <t>СБЦ 2003г.                                               Раздел3.Табл.12 БЦП=10791,13Раздел3.Табл.11п.1 стр.31  К1=2,4; Табл.11п.4 стр.31  К2=1,2;   К4=0,805; К5(удорож.)=4,27</t>
  </si>
  <si>
    <t xml:space="preserve"> ВЛИ-0,4 кВ 
Общая стоимость                     строительства 888649,59                                          руб.,                                                                     в ценах 2001г.-134889,13руб. </t>
  </si>
  <si>
    <t>Приложение № 2 к договору № 1895 П от "24" апреля 2020 г.</t>
  </si>
  <si>
    <t xml:space="preserve"> Директор</t>
  </si>
  <si>
    <t>__________________А. Н. Куликов</t>
  </si>
</sst>
</file>

<file path=xl/styles.xml><?xml version="1.0" encoding="utf-8"?>
<styleSheet xmlns="http://schemas.openxmlformats.org/spreadsheetml/2006/main" xmlns:mc="http://schemas.openxmlformats.org/markup-compatibility/2006" xmlns:x14ac="http://schemas.microsoft.com/office/spreadsheetml/2009/9/ac" mc:Ignorable="x14ac">
  <fonts count="19" x14ac:knownFonts="1">
    <font>
      <sz val="10"/>
      <name val="Arial"/>
    </font>
    <font>
      <sz val="12"/>
      <name val="Times New Roman"/>
      <family val="1"/>
      <charset val="204"/>
    </font>
    <font>
      <sz val="10"/>
      <name val="Arial"/>
      <family val="2"/>
      <charset val="204"/>
    </font>
    <font>
      <sz val="12"/>
      <color indexed="8"/>
      <name val="Times New Roman"/>
      <family val="1"/>
      <charset val="204"/>
    </font>
    <font>
      <b/>
      <sz val="12"/>
      <name val="Times New Roman"/>
      <family val="1"/>
      <charset val="204"/>
    </font>
    <font>
      <b/>
      <sz val="11"/>
      <name val="Times New Roman"/>
      <family val="1"/>
      <charset val="204"/>
    </font>
    <font>
      <b/>
      <sz val="12"/>
      <color indexed="8"/>
      <name val="Times New Roman"/>
      <family val="1"/>
      <charset val="204"/>
    </font>
    <font>
      <sz val="10"/>
      <name val="Arial Cyr"/>
      <charset val="204"/>
    </font>
    <font>
      <b/>
      <sz val="12"/>
      <name val="Arial"/>
      <family val="2"/>
      <charset val="204"/>
    </font>
    <font>
      <sz val="8"/>
      <name val="Arial"/>
      <family val="2"/>
      <charset val="204"/>
    </font>
    <font>
      <sz val="8"/>
      <color indexed="8"/>
      <name val="Arial"/>
      <family val="2"/>
      <charset val="204"/>
    </font>
    <font>
      <sz val="9"/>
      <name val="Arial"/>
      <family val="2"/>
      <charset val="204"/>
    </font>
    <font>
      <b/>
      <sz val="10"/>
      <name val="Arial"/>
      <family val="2"/>
      <charset val="204"/>
    </font>
    <font>
      <b/>
      <sz val="10"/>
      <name val="Times New Roman"/>
      <family val="1"/>
      <charset val="204"/>
    </font>
    <font>
      <sz val="9"/>
      <name val="Times New Roman"/>
      <family val="1"/>
      <charset val="204"/>
    </font>
    <font>
      <sz val="8"/>
      <name val="Times New Roman"/>
      <family val="1"/>
      <charset val="204"/>
    </font>
    <font>
      <sz val="10"/>
      <name val="Times New Roman"/>
      <family val="1"/>
      <charset val="204"/>
    </font>
    <font>
      <b/>
      <sz val="9"/>
      <name val="Times New Roman"/>
      <family val="1"/>
      <charset val="204"/>
    </font>
    <font>
      <sz val="12"/>
      <name val="Arial Cyr"/>
      <charset val="204"/>
    </font>
  </fonts>
  <fills count="2">
    <fill>
      <patternFill patternType="none"/>
    </fill>
    <fill>
      <patternFill patternType="gray125"/>
    </fill>
  </fills>
  <borders count="41">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style="thin">
        <color indexed="64"/>
      </right>
      <top/>
      <bottom style="thin">
        <color indexed="64"/>
      </bottom>
      <diagonal/>
    </border>
    <border>
      <left style="thin">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top style="thin">
        <color indexed="8"/>
      </top>
      <bottom style="thin">
        <color indexed="8"/>
      </bottom>
      <diagonal/>
    </border>
    <border>
      <left style="thin">
        <color indexed="8"/>
      </left>
      <right/>
      <top style="thin">
        <color indexed="8"/>
      </top>
      <bottom style="thin">
        <color indexed="64"/>
      </bottom>
      <diagonal/>
    </border>
    <border>
      <left/>
      <right style="thin">
        <color indexed="8"/>
      </right>
      <top style="thin">
        <color indexed="8"/>
      </top>
      <bottom style="thin">
        <color indexed="64"/>
      </bottom>
      <diagonal/>
    </border>
    <border>
      <left/>
      <right/>
      <top style="thin">
        <color indexed="8"/>
      </top>
      <bottom style="thin">
        <color indexed="64"/>
      </bottom>
      <diagonal/>
    </border>
    <border>
      <left/>
      <right style="thin">
        <color indexed="64"/>
      </right>
      <top style="thin">
        <color indexed="64"/>
      </top>
      <bottom/>
      <diagonal/>
    </border>
    <border>
      <left/>
      <right/>
      <top style="thin">
        <color indexed="64"/>
      </top>
      <bottom/>
      <diagonal/>
    </border>
    <border>
      <left style="thin">
        <color indexed="64"/>
      </left>
      <right style="thin">
        <color indexed="64"/>
      </right>
      <top style="thin">
        <color indexed="22"/>
      </top>
      <bottom style="thin">
        <color indexed="22"/>
      </bottom>
      <diagonal/>
    </border>
    <border>
      <left style="thin">
        <color indexed="64"/>
      </left>
      <right/>
      <top style="thin">
        <color indexed="22"/>
      </top>
      <bottom style="thin">
        <color indexed="22"/>
      </bottom>
      <diagonal/>
    </border>
    <border>
      <left/>
      <right style="thin">
        <color indexed="64"/>
      </right>
      <top style="thin">
        <color indexed="22"/>
      </top>
      <bottom style="thin">
        <color indexed="22"/>
      </bottom>
      <diagonal/>
    </border>
    <border>
      <left/>
      <right/>
      <top style="thin">
        <color indexed="22"/>
      </top>
      <bottom style="thin">
        <color indexed="22"/>
      </bottom>
      <diagonal/>
    </border>
    <border>
      <left style="thin">
        <color indexed="64"/>
      </left>
      <right style="thin">
        <color indexed="64"/>
      </right>
      <top/>
      <bottom style="thin">
        <color indexed="22"/>
      </bottom>
      <diagonal/>
    </border>
    <border>
      <left style="thin">
        <color indexed="64"/>
      </left>
      <right/>
      <top/>
      <bottom style="thin">
        <color indexed="22"/>
      </bottom>
      <diagonal/>
    </border>
    <border>
      <left/>
      <right style="thin">
        <color indexed="64"/>
      </right>
      <top/>
      <bottom style="thin">
        <color indexed="22"/>
      </bottom>
      <diagonal/>
    </border>
    <border>
      <left/>
      <right/>
      <top/>
      <bottom style="thin">
        <color indexed="22"/>
      </bottom>
      <diagonal/>
    </border>
    <border>
      <left/>
      <right style="thin">
        <color indexed="64"/>
      </right>
      <top/>
      <bottom style="thin">
        <color indexed="64"/>
      </bottom>
      <diagonal/>
    </border>
    <border>
      <left/>
      <right/>
      <top/>
      <bottom style="thin">
        <color indexed="64"/>
      </bottom>
      <diagonal/>
    </border>
    <border>
      <left style="thin">
        <color indexed="64"/>
      </left>
      <right style="thin">
        <color indexed="64"/>
      </right>
      <top/>
      <bottom/>
      <diagonal/>
    </border>
    <border>
      <left/>
      <right style="thin">
        <color indexed="64"/>
      </right>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22"/>
      </bottom>
      <diagonal/>
    </border>
    <border>
      <left/>
      <right/>
      <top style="thin">
        <color indexed="64"/>
      </top>
      <bottom style="thin">
        <color indexed="22"/>
      </bottom>
      <diagonal/>
    </border>
    <border>
      <left/>
      <right style="thin">
        <color indexed="64"/>
      </right>
      <top style="thin">
        <color indexed="64"/>
      </top>
      <bottom style="thin">
        <color indexed="22"/>
      </bottom>
      <diagonal/>
    </border>
    <border>
      <left style="thin">
        <color indexed="64"/>
      </left>
      <right/>
      <top style="thin">
        <color indexed="22"/>
      </top>
      <bottom style="thin">
        <color indexed="64"/>
      </bottom>
      <diagonal/>
    </border>
    <border>
      <left/>
      <right/>
      <top style="thin">
        <color indexed="22"/>
      </top>
      <bottom style="thin">
        <color indexed="64"/>
      </bottom>
      <diagonal/>
    </border>
    <border>
      <left/>
      <right style="thin">
        <color indexed="64"/>
      </right>
      <top style="thin">
        <color indexed="22"/>
      </top>
      <bottom style="thin">
        <color indexed="64"/>
      </bottom>
      <diagonal/>
    </border>
    <border>
      <left style="thin">
        <color indexed="64"/>
      </left>
      <right/>
      <top style="thin">
        <color indexed="22"/>
      </top>
      <bottom/>
      <diagonal/>
    </border>
    <border>
      <left/>
      <right/>
      <top style="thin">
        <color indexed="22"/>
      </top>
      <bottom/>
      <diagonal/>
    </border>
    <border>
      <left/>
      <right style="thin">
        <color indexed="64"/>
      </right>
      <top style="thin">
        <color indexed="22"/>
      </top>
      <bottom/>
      <diagonal/>
    </border>
    <border>
      <left style="thin">
        <color indexed="8"/>
      </left>
      <right style="thin">
        <color indexed="8"/>
      </right>
      <top style="thin">
        <color indexed="8"/>
      </top>
      <bottom/>
      <diagonal/>
    </border>
  </borders>
  <cellStyleXfs count="4">
    <xf numFmtId="0" fontId="0" fillId="0" borderId="0"/>
    <xf numFmtId="0" fontId="2" fillId="0" borderId="0"/>
    <xf numFmtId="0" fontId="7" fillId="0" borderId="0"/>
    <xf numFmtId="0" fontId="2" fillId="0" borderId="0"/>
  </cellStyleXfs>
  <cellXfs count="251">
    <xf numFmtId="0" fontId="0" fillId="0" borderId="0" xfId="0"/>
    <xf numFmtId="0" fontId="1" fillId="0" borderId="0" xfId="0" applyFont="1"/>
    <xf numFmtId="0" fontId="3" fillId="0" borderId="0" xfId="1" applyFont="1"/>
    <xf numFmtId="0" fontId="2" fillId="0" borderId="0" xfId="1"/>
    <xf numFmtId="0" fontId="3" fillId="0" borderId="0" xfId="0" applyFont="1"/>
    <xf numFmtId="0" fontId="3" fillId="0" borderId="0" xfId="0" applyFont="1" applyAlignment="1">
      <alignment horizontal="left" vertical="center"/>
    </xf>
    <xf numFmtId="0" fontId="1" fillId="0" borderId="0" xfId="0" applyFont="1" applyAlignment="1">
      <alignment horizontal="left" vertical="center"/>
    </xf>
    <xf numFmtId="0" fontId="4" fillId="0" borderId="0" xfId="0" applyFont="1" applyAlignment="1">
      <alignment horizontal="center"/>
    </xf>
    <xf numFmtId="0" fontId="6" fillId="0" borderId="0" xfId="0" applyFont="1" applyAlignment="1">
      <alignment horizontal="center"/>
    </xf>
    <xf numFmtId="0" fontId="1" fillId="0" borderId="1" xfId="0" applyFont="1" applyBorder="1" applyAlignment="1">
      <alignment horizontal="center" vertical="top" wrapText="1"/>
    </xf>
    <xf numFmtId="0" fontId="4" fillId="0" borderId="2" xfId="0" applyFont="1" applyBorder="1" applyAlignment="1">
      <alignment horizontal="center" vertical="center"/>
    </xf>
    <xf numFmtId="0" fontId="1" fillId="0" borderId="2" xfId="2" applyFont="1" applyBorder="1" applyAlignment="1">
      <alignment horizontal="center" vertical="center" wrapText="1"/>
    </xf>
    <xf numFmtId="0" fontId="1" fillId="0" borderId="3" xfId="0" applyFont="1" applyBorder="1" applyAlignment="1">
      <alignment horizontal="center" vertical="center" wrapText="1"/>
    </xf>
    <xf numFmtId="2" fontId="1" fillId="0" borderId="2" xfId="0" applyNumberFormat="1" applyFont="1" applyBorder="1" applyAlignment="1">
      <alignment horizontal="center" vertical="center"/>
    </xf>
    <xf numFmtId="0" fontId="1" fillId="0" borderId="4" xfId="0" applyFont="1" applyBorder="1" applyAlignment="1">
      <alignment horizontal="center" vertical="center" wrapText="1"/>
    </xf>
    <xf numFmtId="0" fontId="1" fillId="0" borderId="3" xfId="0" applyFont="1" applyBorder="1" applyAlignment="1">
      <alignment horizontal="center"/>
    </xf>
    <xf numFmtId="2" fontId="1" fillId="0" borderId="3" xfId="0" applyNumberFormat="1" applyFont="1" applyBorder="1" applyAlignment="1">
      <alignment horizontal="center"/>
    </xf>
    <xf numFmtId="2" fontId="1" fillId="0" borderId="2" xfId="0" applyNumberFormat="1" applyFont="1" applyBorder="1" applyAlignment="1">
      <alignment horizontal="center"/>
    </xf>
    <xf numFmtId="0" fontId="1" fillId="0" borderId="2" xfId="0" applyFont="1" applyBorder="1"/>
    <xf numFmtId="0" fontId="4" fillId="0" borderId="3" xfId="0" applyFont="1" applyBorder="1" applyAlignment="1">
      <alignment horizontal="left"/>
    </xf>
    <xf numFmtId="0" fontId="1" fillId="0" borderId="0" xfId="0" applyFont="1" applyBorder="1"/>
    <xf numFmtId="0" fontId="4" fillId="0" borderId="0" xfId="0" applyFont="1" applyBorder="1" applyAlignment="1">
      <alignment horizontal="left"/>
    </xf>
    <xf numFmtId="0" fontId="1" fillId="0" borderId="0" xfId="0" applyFont="1" applyBorder="1" applyAlignment="1">
      <alignment horizontal="center"/>
    </xf>
    <xf numFmtId="2" fontId="1" fillId="0" borderId="0" xfId="0" applyNumberFormat="1" applyFont="1" applyBorder="1" applyAlignment="1">
      <alignment horizontal="center"/>
    </xf>
    <xf numFmtId="0" fontId="1" fillId="0" borderId="3" xfId="0" applyFont="1" applyBorder="1" applyAlignment="1">
      <alignment horizontal="center" wrapText="1"/>
    </xf>
    <xf numFmtId="2" fontId="1" fillId="0" borderId="3" xfId="0" applyNumberFormat="1" applyFont="1" applyBorder="1" applyAlignment="1">
      <alignment horizontal="center" wrapText="1"/>
    </xf>
    <xf numFmtId="0" fontId="4" fillId="0" borderId="3" xfId="0" applyFont="1" applyBorder="1" applyAlignment="1">
      <alignment horizontal="center"/>
    </xf>
    <xf numFmtId="2" fontId="4" fillId="0" borderId="2" xfId="0" applyNumberFormat="1" applyFont="1" applyBorder="1" applyAlignment="1">
      <alignment horizontal="center"/>
    </xf>
    <xf numFmtId="0" fontId="4" fillId="0" borderId="2" xfId="0" applyFont="1" applyBorder="1" applyAlignment="1">
      <alignment horizontal="center"/>
    </xf>
    <xf numFmtId="0" fontId="1" fillId="0" borderId="3" xfId="0" applyFont="1" applyBorder="1" applyAlignment="1">
      <alignment horizontal="center" vertical="top" wrapText="1"/>
    </xf>
    <xf numFmtId="0" fontId="4" fillId="0" borderId="0" xfId="0" applyFont="1" applyAlignment="1">
      <alignment horizontal="center" wrapText="1"/>
    </xf>
    <xf numFmtId="0" fontId="5" fillId="0" borderId="0" xfId="0" applyFont="1" applyAlignment="1">
      <alignment horizontal="center" vertical="center" wrapText="1"/>
    </xf>
    <xf numFmtId="0" fontId="1" fillId="0" borderId="4" xfId="0" applyFont="1" applyBorder="1" applyAlignment="1">
      <alignment horizontal="center" vertical="center" wrapText="1"/>
    </xf>
    <xf numFmtId="0" fontId="4" fillId="0" borderId="2" xfId="0" applyFont="1" applyBorder="1" applyAlignment="1">
      <alignment horizontal="center" vertical="center" wrapText="1"/>
    </xf>
    <xf numFmtId="2" fontId="1" fillId="0" borderId="7" xfId="0" applyNumberFormat="1" applyFont="1" applyBorder="1" applyAlignment="1">
      <alignment horizontal="center" vertical="center"/>
    </xf>
    <xf numFmtId="0" fontId="1" fillId="0" borderId="2" xfId="0" applyFont="1" applyBorder="1" applyAlignment="1">
      <alignment horizontal="center" vertical="center" wrapText="1"/>
    </xf>
    <xf numFmtId="0" fontId="1" fillId="0" borderId="3" xfId="0" applyFont="1" applyBorder="1" applyAlignment="1">
      <alignment horizontal="left" wrapText="1"/>
    </xf>
    <xf numFmtId="0" fontId="1" fillId="0" borderId="4" xfId="0" applyFont="1" applyBorder="1" applyAlignment="1">
      <alignment horizontal="center" vertical="center" wrapText="1"/>
    </xf>
    <xf numFmtId="0" fontId="1" fillId="0" borderId="4" xfId="0" applyFont="1" applyBorder="1" applyAlignment="1">
      <alignment horizontal="center" vertical="center" wrapText="1"/>
    </xf>
    <xf numFmtId="0" fontId="1" fillId="0" borderId="0" xfId="0" applyFont="1" applyAlignment="1">
      <alignment horizontal="center"/>
    </xf>
    <xf numFmtId="0" fontId="1" fillId="0" borderId="0" xfId="0" applyFont="1" applyAlignment="1">
      <alignment horizontal="center"/>
    </xf>
    <xf numFmtId="0" fontId="1" fillId="0" borderId="4" xfId="0" applyFont="1" applyBorder="1" applyAlignment="1">
      <alignment horizontal="center" vertical="center" wrapText="1"/>
    </xf>
    <xf numFmtId="0" fontId="1" fillId="0" borderId="0" xfId="0" applyFont="1" applyAlignment="1">
      <alignment horizontal="center"/>
    </xf>
    <xf numFmtId="0" fontId="1" fillId="0" borderId="4" xfId="0" applyFont="1" applyBorder="1" applyAlignment="1">
      <alignment horizontal="center" vertical="center" wrapText="1"/>
    </xf>
    <xf numFmtId="0" fontId="1" fillId="0" borderId="0" xfId="0" applyFont="1" applyAlignment="1">
      <alignment horizontal="center"/>
    </xf>
    <xf numFmtId="0" fontId="1" fillId="0" borderId="4" xfId="0" applyFont="1" applyBorder="1" applyAlignment="1">
      <alignment horizontal="center" vertical="center" wrapText="1"/>
    </xf>
    <xf numFmtId="0" fontId="1" fillId="0" borderId="0" xfId="0" applyFont="1" applyAlignment="1">
      <alignment horizontal="center"/>
    </xf>
    <xf numFmtId="0" fontId="1" fillId="0" borderId="4" xfId="0" applyFont="1" applyBorder="1" applyAlignment="1">
      <alignment horizontal="center" vertical="center" wrapText="1"/>
    </xf>
    <xf numFmtId="0" fontId="1" fillId="0" borderId="0" xfId="0" applyFont="1" applyAlignment="1">
      <alignment horizontal="center"/>
    </xf>
    <xf numFmtId="0" fontId="1" fillId="0" borderId="4" xfId="0" applyFont="1" applyBorder="1" applyAlignment="1">
      <alignment horizontal="center" vertical="center" wrapText="1"/>
    </xf>
    <xf numFmtId="0" fontId="2" fillId="0" borderId="0" xfId="1" applyNumberFormat="1" applyFont="1" applyAlignment="1">
      <alignment wrapText="1"/>
    </xf>
    <xf numFmtId="0" fontId="2" fillId="0" borderId="0" xfId="1" applyNumberFormat="1" applyFont="1"/>
    <xf numFmtId="0" fontId="1" fillId="0" borderId="0" xfId="1" applyFont="1"/>
    <xf numFmtId="0" fontId="3" fillId="0" borderId="0" xfId="1" applyFont="1" applyAlignment="1">
      <alignment horizontal="left" vertical="center"/>
    </xf>
    <xf numFmtId="0" fontId="1" fillId="0" borderId="0" xfId="1" applyFont="1" applyAlignment="1">
      <alignment horizontal="left" vertical="center"/>
    </xf>
    <xf numFmtId="0" fontId="9" fillId="0" borderId="0" xfId="1" applyNumberFormat="1" applyFont="1" applyAlignment="1">
      <alignment horizontal="left"/>
    </xf>
    <xf numFmtId="0" fontId="9" fillId="0" borderId="0" xfId="1" applyNumberFormat="1" applyFont="1" applyAlignment="1"/>
    <xf numFmtId="0" fontId="10" fillId="0" borderId="0" xfId="1" applyNumberFormat="1" applyFont="1" applyBorder="1" applyAlignment="1">
      <alignment horizontal="right" vertical="top"/>
    </xf>
    <xf numFmtId="0" fontId="4" fillId="0" borderId="0" xfId="3" applyFont="1" applyAlignment="1"/>
    <xf numFmtId="0" fontId="4" fillId="0" borderId="0" xfId="3" applyFont="1" applyAlignment="1">
      <alignment horizontal="center" vertical="center" wrapText="1"/>
    </xf>
    <xf numFmtId="0" fontId="11" fillId="0" borderId="8" xfId="1" applyNumberFormat="1" applyFont="1" applyBorder="1" applyAlignment="1">
      <alignment horizontal="center" vertical="top" wrapText="1"/>
    </xf>
    <xf numFmtId="0" fontId="9" fillId="0" borderId="8" xfId="1" applyNumberFormat="1" applyFont="1" applyBorder="1" applyAlignment="1">
      <alignment horizontal="center" vertical="top" wrapText="1"/>
    </xf>
    <xf numFmtId="0" fontId="2" fillId="0" borderId="8" xfId="1" applyNumberFormat="1" applyFont="1" applyBorder="1" applyAlignment="1">
      <alignment horizontal="center" wrapText="1"/>
    </xf>
    <xf numFmtId="49" fontId="12" fillId="0" borderId="1" xfId="1" applyNumberFormat="1" applyFont="1" applyBorder="1" applyAlignment="1">
      <alignment horizontal="right" vertical="top" wrapText="1"/>
    </xf>
    <xf numFmtId="0" fontId="2" fillId="0" borderId="1" xfId="1" applyNumberFormat="1" applyFont="1" applyBorder="1" applyAlignment="1">
      <alignment horizontal="left" vertical="top" wrapText="1"/>
    </xf>
    <xf numFmtId="4" fontId="2" fillId="0" borderId="1" xfId="1" applyNumberFormat="1" applyFont="1" applyBorder="1" applyAlignment="1">
      <alignment horizontal="right" vertical="top" wrapText="1"/>
    </xf>
    <xf numFmtId="49" fontId="12" fillId="0" borderId="17" xfId="1" applyNumberFormat="1" applyFont="1" applyBorder="1" applyAlignment="1">
      <alignment horizontal="right" vertical="top" wrapText="1"/>
    </xf>
    <xf numFmtId="0" fontId="12" fillId="0" borderId="17" xfId="1" applyNumberFormat="1" applyFont="1" applyBorder="1" applyAlignment="1">
      <alignment horizontal="left" vertical="top" wrapText="1"/>
    </xf>
    <xf numFmtId="0" fontId="12" fillId="0" borderId="17" xfId="1" applyNumberFormat="1" applyFont="1" applyBorder="1" applyAlignment="1">
      <alignment horizontal="right" vertical="top" wrapText="1"/>
    </xf>
    <xf numFmtId="49" fontId="12" fillId="0" borderId="21" xfId="1" applyNumberFormat="1" applyFont="1" applyBorder="1" applyAlignment="1">
      <alignment horizontal="right" vertical="top" wrapText="1"/>
    </xf>
    <xf numFmtId="0" fontId="2" fillId="0" borderId="21" xfId="1" applyNumberFormat="1" applyFont="1" applyBorder="1" applyAlignment="1">
      <alignment horizontal="left" vertical="top" wrapText="1"/>
    </xf>
    <xf numFmtId="0" fontId="2" fillId="0" borderId="21" xfId="1" applyNumberFormat="1" applyFont="1" applyBorder="1" applyAlignment="1">
      <alignment horizontal="right" vertical="top" wrapText="1"/>
    </xf>
    <xf numFmtId="49" fontId="12" fillId="0" borderId="7" xfId="1" applyNumberFormat="1" applyFont="1" applyBorder="1" applyAlignment="1">
      <alignment horizontal="right" vertical="top" wrapText="1"/>
    </xf>
    <xf numFmtId="0" fontId="2" fillId="0" borderId="7" xfId="1" applyNumberFormat="1" applyFont="1" applyBorder="1" applyAlignment="1">
      <alignment horizontal="left" vertical="top" wrapText="1"/>
    </xf>
    <xf numFmtId="0" fontId="2" fillId="0" borderId="7" xfId="1" applyNumberFormat="1" applyFont="1" applyBorder="1" applyAlignment="1">
      <alignment horizontal="right" vertical="top" wrapText="1"/>
    </xf>
    <xf numFmtId="49" fontId="12" fillId="0" borderId="27" xfId="1" applyNumberFormat="1" applyFont="1" applyBorder="1" applyAlignment="1">
      <alignment horizontal="right" vertical="top" wrapText="1"/>
    </xf>
    <xf numFmtId="0" fontId="2" fillId="0" borderId="27" xfId="1" applyNumberFormat="1" applyFont="1" applyBorder="1" applyAlignment="1">
      <alignment horizontal="left" vertical="top" wrapText="1"/>
    </xf>
    <xf numFmtId="4" fontId="2" fillId="0" borderId="27" xfId="1" applyNumberFormat="1" applyFont="1" applyBorder="1" applyAlignment="1">
      <alignment horizontal="right" vertical="top" wrapText="1"/>
    </xf>
    <xf numFmtId="0" fontId="12" fillId="0" borderId="7" xfId="1" applyNumberFormat="1" applyFont="1" applyBorder="1" applyAlignment="1">
      <alignment horizontal="left" vertical="top" wrapText="1"/>
    </xf>
    <xf numFmtId="4" fontId="12" fillId="0" borderId="7" xfId="1" applyNumberFormat="1" applyFont="1" applyBorder="1" applyAlignment="1">
      <alignment horizontal="right" vertical="top" wrapText="1"/>
    </xf>
    <xf numFmtId="49" fontId="12" fillId="0" borderId="2" xfId="1" applyNumberFormat="1" applyFont="1" applyBorder="1" applyAlignment="1">
      <alignment horizontal="right" vertical="top" wrapText="1"/>
    </xf>
    <xf numFmtId="0" fontId="2" fillId="0" borderId="2" xfId="1" applyNumberFormat="1" applyFont="1" applyBorder="1" applyAlignment="1">
      <alignment horizontal="left" vertical="top" wrapText="1"/>
    </xf>
    <xf numFmtId="4" fontId="2" fillId="0" borderId="2" xfId="1" applyNumberFormat="1" applyFont="1" applyBorder="1" applyAlignment="1">
      <alignment horizontal="right" vertical="top" wrapText="1"/>
    </xf>
    <xf numFmtId="0" fontId="12" fillId="0" borderId="2" xfId="1" applyNumberFormat="1" applyFont="1" applyBorder="1" applyAlignment="1">
      <alignment horizontal="left" vertical="top" wrapText="1"/>
    </xf>
    <xf numFmtId="4" fontId="12" fillId="0" borderId="2" xfId="1" applyNumberFormat="1" applyFont="1" applyBorder="1" applyAlignment="1">
      <alignment horizontal="right" vertical="top" wrapText="1"/>
    </xf>
    <xf numFmtId="0" fontId="2" fillId="0" borderId="3" xfId="0" applyFont="1" applyBorder="1" applyAlignment="1">
      <alignment horizontal="center" vertical="center" wrapText="1"/>
    </xf>
    <xf numFmtId="2" fontId="2" fillId="0" borderId="2" xfId="0" applyNumberFormat="1" applyFont="1" applyBorder="1" applyAlignment="1">
      <alignment horizontal="right" vertical="top"/>
    </xf>
    <xf numFmtId="0" fontId="2" fillId="0" borderId="27" xfId="1" applyNumberFormat="1" applyFont="1" applyBorder="1" applyAlignment="1">
      <alignment horizontal="right" vertical="top" wrapText="1"/>
    </xf>
    <xf numFmtId="49" fontId="2" fillId="0" borderId="40" xfId="1" applyNumberFormat="1" applyFont="1" applyBorder="1" applyAlignment="1">
      <alignment horizontal="center" wrapText="1"/>
    </xf>
    <xf numFmtId="49" fontId="12" fillId="0" borderId="2" xfId="1" applyNumberFormat="1" applyFont="1" applyBorder="1" applyAlignment="1">
      <alignment horizontal="center" vertical="top" wrapText="1"/>
    </xf>
    <xf numFmtId="0" fontId="2" fillId="0" borderId="40" xfId="1" applyNumberFormat="1" applyFont="1" applyBorder="1" applyAlignment="1">
      <alignment horizontal="center" wrapText="1"/>
    </xf>
    <xf numFmtId="0" fontId="12" fillId="0" borderId="21" xfId="1" applyNumberFormat="1" applyFont="1" applyBorder="1" applyAlignment="1">
      <alignment horizontal="right" vertical="top" wrapText="1"/>
    </xf>
    <xf numFmtId="0" fontId="13" fillId="0" borderId="0" xfId="0" applyFont="1" applyAlignment="1">
      <alignment horizontal="left" vertical="top"/>
    </xf>
    <xf numFmtId="0" fontId="14" fillId="0" borderId="0" xfId="0" applyFont="1" applyAlignment="1">
      <alignment horizontal="center" vertical="top" wrapText="1"/>
    </xf>
    <xf numFmtId="0" fontId="15" fillId="0" borderId="0" xfId="0" applyFont="1" applyBorder="1"/>
    <xf numFmtId="0" fontId="16" fillId="0" borderId="0" xfId="0" applyFont="1" applyAlignment="1">
      <alignment horizontal="left" vertical="top"/>
    </xf>
    <xf numFmtId="0" fontId="17" fillId="0" borderId="0" xfId="0" applyFont="1" applyAlignment="1">
      <alignment horizontal="center" vertical="top" wrapText="1"/>
    </xf>
    <xf numFmtId="0" fontId="1" fillId="0" borderId="0" xfId="0" applyFont="1" applyAlignment="1">
      <alignment horizontal="left" vertical="top"/>
    </xf>
    <xf numFmtId="0" fontId="1" fillId="0" borderId="0" xfId="0" applyFont="1" applyAlignment="1">
      <alignment horizontal="center" vertical="top" wrapText="1"/>
    </xf>
    <xf numFmtId="0" fontId="1" fillId="0" borderId="0" xfId="0" applyFont="1" applyAlignment="1">
      <alignment horizontal="right" vertical="top"/>
    </xf>
    <xf numFmtId="0" fontId="1" fillId="0" borderId="0" xfId="0" applyFont="1" applyAlignment="1">
      <alignment vertical="center"/>
    </xf>
    <xf numFmtId="0" fontId="18" fillId="0" borderId="0" xfId="0" applyFont="1" applyAlignment="1">
      <alignment vertical="top"/>
    </xf>
    <xf numFmtId="0" fontId="14" fillId="0" borderId="0" xfId="0" applyFont="1" applyAlignment="1">
      <alignment horizontal="left" vertical="top"/>
    </xf>
    <xf numFmtId="0" fontId="1" fillId="0" borderId="0" xfId="0" applyFont="1" applyAlignment="1">
      <alignment horizontal="center"/>
    </xf>
    <xf numFmtId="0" fontId="1" fillId="0" borderId="4" xfId="0" applyFont="1" applyBorder="1" applyAlignment="1">
      <alignment horizontal="center" vertical="center" wrapText="1"/>
    </xf>
    <xf numFmtId="0" fontId="1" fillId="0" borderId="0" xfId="0" applyFont="1" applyAlignment="1">
      <alignment horizontal="center"/>
    </xf>
    <xf numFmtId="0" fontId="1" fillId="0" borderId="4" xfId="0" applyFont="1" applyBorder="1" applyAlignment="1">
      <alignment horizontal="center" vertical="center" wrapText="1"/>
    </xf>
    <xf numFmtId="0" fontId="1" fillId="0" borderId="0" xfId="0" applyFont="1" applyAlignment="1">
      <alignment horizontal="center"/>
    </xf>
    <xf numFmtId="0" fontId="1" fillId="0" borderId="4" xfId="0" applyFont="1" applyBorder="1" applyAlignment="1">
      <alignment horizontal="center" vertical="center" wrapText="1"/>
    </xf>
    <xf numFmtId="0" fontId="1" fillId="0" borderId="0" xfId="0" applyFont="1" applyAlignment="1">
      <alignment horizontal="center"/>
    </xf>
    <xf numFmtId="0" fontId="1" fillId="0" borderId="4" xfId="0" applyFont="1" applyBorder="1" applyAlignment="1">
      <alignment horizontal="center" vertical="center" wrapText="1"/>
    </xf>
    <xf numFmtId="0" fontId="2" fillId="0" borderId="4" xfId="0" applyFont="1" applyBorder="1" applyAlignment="1">
      <alignment horizontal="center" vertical="center" wrapText="1"/>
    </xf>
    <xf numFmtId="2" fontId="2" fillId="0" borderId="7" xfId="0" applyNumberFormat="1" applyFont="1" applyBorder="1" applyAlignment="1">
      <alignment horizontal="right" vertical="center"/>
    </xf>
    <xf numFmtId="0" fontId="2" fillId="0" borderId="9" xfId="1" applyNumberFormat="1" applyFont="1" applyBorder="1" applyAlignment="1">
      <alignment horizontal="center" wrapText="1"/>
    </xf>
    <xf numFmtId="0" fontId="11" fillId="0" borderId="40" xfId="1" applyNumberFormat="1" applyFont="1" applyBorder="1" applyAlignment="1">
      <alignment horizontal="center" vertical="top" wrapText="1"/>
    </xf>
    <xf numFmtId="0" fontId="2" fillId="0" borderId="2" xfId="1" applyNumberFormat="1" applyFont="1" applyBorder="1" applyAlignment="1">
      <alignment horizontal="center" wrapText="1"/>
    </xf>
    <xf numFmtId="0" fontId="1" fillId="0" borderId="0" xfId="0" applyFont="1" applyAlignment="1">
      <alignment horizontal="center"/>
    </xf>
    <xf numFmtId="0" fontId="1" fillId="0" borderId="4" xfId="0" applyFont="1" applyBorder="1" applyAlignment="1">
      <alignment horizontal="center" vertical="center" wrapText="1"/>
    </xf>
    <xf numFmtId="0" fontId="2" fillId="0" borderId="2" xfId="1" applyNumberFormat="1" applyFont="1" applyBorder="1" applyAlignment="1">
      <alignment vertical="top" wrapText="1"/>
    </xf>
    <xf numFmtId="0" fontId="1" fillId="0" borderId="2" xfId="1" applyNumberFormat="1" applyFont="1" applyBorder="1" applyAlignment="1">
      <alignment vertical="top" wrapText="1"/>
    </xf>
    <xf numFmtId="0" fontId="1" fillId="0" borderId="0" xfId="0" applyFont="1" applyAlignment="1">
      <alignment horizontal="center"/>
    </xf>
    <xf numFmtId="0" fontId="1" fillId="0" borderId="4" xfId="0" applyFont="1" applyBorder="1" applyAlignment="1">
      <alignment horizontal="center" vertical="center" wrapText="1"/>
    </xf>
    <xf numFmtId="0" fontId="1" fillId="0" borderId="0" xfId="0" applyFont="1" applyAlignment="1">
      <alignment horizontal="center"/>
    </xf>
    <xf numFmtId="0" fontId="1" fillId="0" borderId="4" xfId="0" applyFont="1" applyBorder="1" applyAlignment="1">
      <alignment horizontal="center" vertical="center" wrapText="1"/>
    </xf>
    <xf numFmtId="0" fontId="1" fillId="0" borderId="0" xfId="0" applyFont="1" applyAlignment="1">
      <alignment horizontal="center"/>
    </xf>
    <xf numFmtId="0" fontId="1" fillId="0" borderId="4" xfId="0" applyFont="1" applyBorder="1" applyAlignment="1">
      <alignment horizontal="center" vertical="center" wrapText="1"/>
    </xf>
    <xf numFmtId="0" fontId="1" fillId="0" borderId="2" xfId="0" applyFont="1" applyBorder="1" applyAlignment="1">
      <alignment horizontal="center"/>
    </xf>
    <xf numFmtId="0" fontId="1" fillId="0" borderId="0" xfId="0" applyFont="1" applyAlignment="1">
      <alignment horizontal="center"/>
    </xf>
    <xf numFmtId="0" fontId="1" fillId="0" borderId="4" xfId="0" applyFont="1" applyBorder="1" applyAlignment="1">
      <alignment horizontal="center" vertical="center" wrapText="1"/>
    </xf>
    <xf numFmtId="0" fontId="1" fillId="0" borderId="0" xfId="0" applyFont="1" applyAlignment="1">
      <alignment horizontal="center"/>
    </xf>
    <xf numFmtId="0" fontId="1" fillId="0" borderId="4" xfId="0" applyFont="1" applyBorder="1" applyAlignment="1">
      <alignment horizontal="center" vertical="center" wrapText="1"/>
    </xf>
    <xf numFmtId="0" fontId="1" fillId="0" borderId="0" xfId="0" applyFont="1" applyAlignment="1">
      <alignment horizontal="center"/>
    </xf>
    <xf numFmtId="0" fontId="1" fillId="0" borderId="4" xfId="0" applyFont="1" applyBorder="1" applyAlignment="1">
      <alignment horizontal="center" vertical="center" wrapText="1"/>
    </xf>
    <xf numFmtId="0" fontId="1" fillId="0" borderId="0" xfId="0" applyFont="1" applyAlignment="1">
      <alignment horizontal="center"/>
    </xf>
    <xf numFmtId="0" fontId="1" fillId="0" borderId="4" xfId="0" applyFont="1" applyBorder="1" applyAlignment="1">
      <alignment horizontal="center" vertical="center" wrapText="1"/>
    </xf>
    <xf numFmtId="0" fontId="1" fillId="0" borderId="0" xfId="0" applyFont="1" applyAlignment="1">
      <alignment horizontal="center"/>
    </xf>
    <xf numFmtId="0" fontId="1" fillId="0" borderId="4" xfId="0" applyFont="1" applyBorder="1" applyAlignment="1">
      <alignment horizontal="center" vertical="center" wrapText="1"/>
    </xf>
    <xf numFmtId="0" fontId="1" fillId="0" borderId="0" xfId="0" applyFont="1" applyAlignment="1">
      <alignment horizontal="center"/>
    </xf>
    <xf numFmtId="0" fontId="1" fillId="0" borderId="4" xfId="0" applyFont="1" applyBorder="1" applyAlignment="1">
      <alignment horizontal="center" vertical="center" wrapText="1"/>
    </xf>
    <xf numFmtId="0" fontId="1" fillId="0" borderId="0" xfId="0" applyFont="1" applyAlignment="1">
      <alignment horizontal="center"/>
    </xf>
    <xf numFmtId="0" fontId="1" fillId="0" borderId="4" xfId="0" applyFont="1" applyBorder="1" applyAlignment="1">
      <alignment horizontal="center" vertical="center" wrapText="1"/>
    </xf>
    <xf numFmtId="0" fontId="1" fillId="0" borderId="0" xfId="0" applyFont="1" applyAlignment="1">
      <alignment horizontal="center"/>
    </xf>
    <xf numFmtId="0" fontId="1" fillId="0" borderId="4" xfId="0" applyFont="1" applyBorder="1" applyAlignment="1">
      <alignment horizontal="center" vertical="center" wrapText="1"/>
    </xf>
    <xf numFmtId="0" fontId="1" fillId="0" borderId="0" xfId="0" applyFont="1" applyAlignment="1">
      <alignment horizontal="center"/>
    </xf>
    <xf numFmtId="0" fontId="1" fillId="0" borderId="4" xfId="0" applyFont="1" applyBorder="1" applyAlignment="1">
      <alignment horizontal="center" vertical="center" wrapText="1"/>
    </xf>
    <xf numFmtId="0" fontId="1" fillId="0" borderId="0" xfId="0" applyFont="1" applyAlignment="1">
      <alignment horizontal="center"/>
    </xf>
    <xf numFmtId="0" fontId="1" fillId="0" borderId="4" xfId="0" applyFont="1" applyBorder="1" applyAlignment="1">
      <alignment horizontal="center" vertical="center" wrapText="1"/>
    </xf>
    <xf numFmtId="0" fontId="1" fillId="0" borderId="0" xfId="0" applyFont="1" applyAlignment="1">
      <alignment horizontal="center"/>
    </xf>
    <xf numFmtId="0" fontId="1" fillId="0" borderId="4" xfId="0" applyFont="1" applyBorder="1" applyAlignment="1">
      <alignment horizontal="center" vertical="center" wrapText="1"/>
    </xf>
    <xf numFmtId="0" fontId="1" fillId="0" borderId="0" xfId="0" applyFont="1" applyAlignment="1">
      <alignment horizontal="center"/>
    </xf>
    <xf numFmtId="0" fontId="1" fillId="0" borderId="4" xfId="0" applyFont="1" applyBorder="1" applyAlignment="1">
      <alignment horizontal="center" vertical="center" wrapText="1"/>
    </xf>
    <xf numFmtId="0" fontId="1" fillId="0" borderId="0" xfId="0" applyFont="1" applyAlignment="1">
      <alignment horizontal="center"/>
    </xf>
    <xf numFmtId="0" fontId="1" fillId="0" borderId="4" xfId="0" applyFont="1" applyBorder="1" applyAlignment="1">
      <alignment horizontal="center" vertical="center" wrapText="1"/>
    </xf>
    <xf numFmtId="0" fontId="1" fillId="0" borderId="0" xfId="0" applyFont="1" applyAlignment="1">
      <alignment horizontal="center"/>
    </xf>
    <xf numFmtId="0" fontId="1" fillId="0" borderId="4" xfId="0" applyFont="1" applyBorder="1" applyAlignment="1">
      <alignment horizontal="center" vertical="center" wrapText="1"/>
    </xf>
    <xf numFmtId="0" fontId="1" fillId="0" borderId="0" xfId="0" applyFont="1" applyAlignment="1">
      <alignment horizontal="center"/>
    </xf>
    <xf numFmtId="0" fontId="1" fillId="0" borderId="4" xfId="0" applyFont="1" applyBorder="1" applyAlignment="1">
      <alignment horizontal="center" vertical="center" wrapText="1"/>
    </xf>
    <xf numFmtId="0" fontId="1" fillId="0" borderId="0" xfId="0" applyFont="1" applyAlignment="1">
      <alignment horizontal="center"/>
    </xf>
    <xf numFmtId="0" fontId="1" fillId="0" borderId="4" xfId="0" applyFont="1" applyBorder="1" applyAlignment="1">
      <alignment horizontal="center" vertical="center" wrapText="1"/>
    </xf>
    <xf numFmtId="0" fontId="1" fillId="0" borderId="0" xfId="0" applyFont="1" applyAlignment="1">
      <alignment horizontal="center"/>
    </xf>
    <xf numFmtId="0" fontId="1" fillId="0" borderId="4" xfId="0" applyFont="1" applyBorder="1" applyAlignment="1">
      <alignment horizontal="center" vertical="center" wrapText="1"/>
    </xf>
    <xf numFmtId="0" fontId="1" fillId="0" borderId="0" xfId="0" applyFont="1" applyAlignment="1">
      <alignment horizontal="center"/>
    </xf>
    <xf numFmtId="0" fontId="1" fillId="0" borderId="4" xfId="0" applyFont="1" applyBorder="1" applyAlignment="1">
      <alignment horizontal="center" vertical="center" wrapText="1"/>
    </xf>
    <xf numFmtId="0" fontId="1" fillId="0" borderId="0" xfId="0" applyFont="1" applyAlignment="1">
      <alignment horizontal="center"/>
    </xf>
    <xf numFmtId="0" fontId="1" fillId="0" borderId="4" xfId="0" applyFont="1" applyBorder="1" applyAlignment="1">
      <alignment horizontal="center" vertical="center" wrapText="1"/>
    </xf>
    <xf numFmtId="0" fontId="1" fillId="0" borderId="0" xfId="0" applyFont="1" applyAlignment="1">
      <alignment horizontal="center"/>
    </xf>
    <xf numFmtId="0" fontId="1" fillId="0" borderId="4" xfId="0" applyFont="1" applyBorder="1" applyAlignment="1">
      <alignment horizontal="center" vertical="center" wrapText="1"/>
    </xf>
    <xf numFmtId="0" fontId="1" fillId="0" borderId="0" xfId="0" applyFont="1" applyAlignment="1">
      <alignment horizontal="center"/>
    </xf>
    <xf numFmtId="0" fontId="1" fillId="0" borderId="4" xfId="0" applyFont="1" applyBorder="1" applyAlignment="1">
      <alignment horizontal="center" vertical="center" wrapText="1"/>
    </xf>
    <xf numFmtId="0" fontId="1" fillId="0" borderId="0" xfId="0" applyFont="1" applyAlignment="1">
      <alignment horizontal="center"/>
    </xf>
    <xf numFmtId="0" fontId="1" fillId="0" borderId="4" xfId="0" applyFont="1" applyBorder="1" applyAlignment="1">
      <alignment horizontal="center" vertical="center" wrapText="1"/>
    </xf>
    <xf numFmtId="0" fontId="1" fillId="0" borderId="0" xfId="0" applyFont="1" applyAlignment="1">
      <alignment horizontal="center"/>
    </xf>
    <xf numFmtId="0" fontId="1" fillId="0" borderId="4" xfId="0" applyFont="1" applyBorder="1" applyAlignment="1">
      <alignment horizontal="center" vertical="center" wrapText="1"/>
    </xf>
    <xf numFmtId="0" fontId="1" fillId="0" borderId="0" xfId="0" applyFont="1" applyAlignment="1">
      <alignment horizontal="center"/>
    </xf>
    <xf numFmtId="0" fontId="1" fillId="0" borderId="4" xfId="0" applyFont="1" applyBorder="1" applyAlignment="1">
      <alignment horizontal="center" vertical="center" wrapText="1"/>
    </xf>
    <xf numFmtId="0" fontId="1" fillId="0" borderId="0" xfId="0" applyFont="1" applyAlignment="1">
      <alignment horizontal="center"/>
    </xf>
    <xf numFmtId="0" fontId="1" fillId="0" borderId="4" xfId="0" applyFont="1" applyBorder="1" applyAlignment="1">
      <alignment horizontal="center" vertical="center" wrapText="1"/>
    </xf>
    <xf numFmtId="0" fontId="1" fillId="0" borderId="0" xfId="0" applyFont="1" applyAlignment="1">
      <alignment horizontal="center"/>
    </xf>
    <xf numFmtId="0" fontId="1" fillId="0" borderId="4" xfId="0" applyFont="1" applyBorder="1" applyAlignment="1">
      <alignment horizontal="center" vertical="center" wrapText="1"/>
    </xf>
    <xf numFmtId="0" fontId="1" fillId="0" borderId="0" xfId="0" applyFont="1" applyAlignment="1">
      <alignment horizontal="center"/>
    </xf>
    <xf numFmtId="0" fontId="1" fillId="0" borderId="4" xfId="0" applyFont="1" applyBorder="1" applyAlignment="1">
      <alignment horizontal="center" vertical="center" wrapText="1"/>
    </xf>
    <xf numFmtId="0" fontId="1" fillId="0" borderId="0" xfId="0" applyFont="1" applyAlignment="1">
      <alignment horizontal="center"/>
    </xf>
    <xf numFmtId="0" fontId="1" fillId="0" borderId="4" xfId="0" applyFont="1" applyBorder="1" applyAlignment="1">
      <alignment horizontal="center" vertical="center" wrapText="1"/>
    </xf>
    <xf numFmtId="0" fontId="1" fillId="0" borderId="3" xfId="1" applyNumberFormat="1" applyFont="1" applyBorder="1" applyAlignment="1">
      <alignment vertical="top" wrapText="1"/>
    </xf>
    <xf numFmtId="0" fontId="1" fillId="0" borderId="0" xfId="0" applyFont="1" applyAlignment="1">
      <alignment horizontal="center"/>
    </xf>
    <xf numFmtId="0" fontId="1" fillId="0" borderId="4" xfId="0" applyFont="1" applyBorder="1" applyAlignment="1">
      <alignment horizontal="center" vertical="center" wrapText="1"/>
    </xf>
    <xf numFmtId="0" fontId="1" fillId="0" borderId="0" xfId="0" applyFont="1" applyAlignment="1">
      <alignment horizontal="center"/>
    </xf>
    <xf numFmtId="0" fontId="1" fillId="0" borderId="4" xfId="0" applyFont="1" applyBorder="1" applyAlignment="1">
      <alignment horizontal="center" vertical="center" wrapText="1"/>
    </xf>
    <xf numFmtId="0" fontId="1" fillId="0" borderId="0" xfId="0" applyFont="1" applyAlignment="1">
      <alignment horizontal="center"/>
    </xf>
    <xf numFmtId="0" fontId="4" fillId="0" borderId="0" xfId="0" applyFont="1" applyAlignment="1">
      <alignment horizontal="center" wrapText="1"/>
    </xf>
    <xf numFmtId="0" fontId="5" fillId="0" borderId="0" xfId="0" applyFont="1" applyAlignment="1">
      <alignment horizontal="center" vertical="center" wrapText="1"/>
    </xf>
    <xf numFmtId="0" fontId="5" fillId="0" borderId="2" xfId="0" applyFont="1" applyBorder="1" applyAlignment="1">
      <alignment horizontal="center" wrapText="1"/>
    </xf>
    <xf numFmtId="0" fontId="1" fillId="0" borderId="2" xfId="0" applyFont="1" applyBorder="1" applyAlignment="1">
      <alignment horizont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4" xfId="0" applyFont="1" applyBorder="1" applyAlignment="1">
      <alignment horizontal="center" vertical="center" wrapText="1"/>
    </xf>
    <xf numFmtId="0" fontId="1" fillId="0" borderId="4" xfId="0" applyFont="1" applyBorder="1" applyAlignment="1"/>
    <xf numFmtId="0" fontId="1" fillId="0" borderId="1" xfId="0" applyFont="1" applyBorder="1" applyAlignment="1">
      <alignment horizontal="center" vertical="center" wrapText="1"/>
    </xf>
    <xf numFmtId="0" fontId="1" fillId="0" borderId="7" xfId="0" applyFont="1" applyBorder="1" applyAlignment="1">
      <alignment horizontal="center" vertical="center"/>
    </xf>
    <xf numFmtId="0" fontId="2" fillId="0" borderId="0" xfId="1" applyNumberFormat="1" applyFont="1" applyAlignment="1">
      <alignment horizontal="center" wrapText="1"/>
    </xf>
    <xf numFmtId="0" fontId="8" fillId="0" borderId="0" xfId="1" applyNumberFormat="1" applyFont="1" applyBorder="1" applyAlignment="1">
      <alignment horizontal="center" vertical="top" wrapText="1"/>
    </xf>
    <xf numFmtId="0" fontId="2" fillId="0" borderId="0" xfId="1" applyNumberFormat="1" applyFont="1" applyBorder="1" applyAlignment="1">
      <alignment horizontal="center" vertical="center"/>
    </xf>
    <xf numFmtId="0" fontId="2" fillId="0" borderId="0" xfId="1" applyNumberFormat="1" applyBorder="1" applyAlignment="1">
      <alignment horizontal="center" vertical="center"/>
    </xf>
    <xf numFmtId="0" fontId="4" fillId="0" borderId="0" xfId="3" applyFont="1" applyAlignment="1">
      <alignment horizontal="center" vertical="top" wrapText="1"/>
    </xf>
    <xf numFmtId="0" fontId="11" fillId="0" borderId="9" xfId="1" applyNumberFormat="1" applyFont="1" applyBorder="1" applyAlignment="1">
      <alignment horizontal="center" vertical="top" wrapText="1"/>
    </xf>
    <xf numFmtId="0" fontId="11" fillId="0" borderId="10" xfId="1" applyNumberFormat="1" applyFont="1" applyBorder="1" applyAlignment="1">
      <alignment horizontal="center" vertical="top" wrapText="1"/>
    </xf>
    <xf numFmtId="0" fontId="11" fillId="0" borderId="11" xfId="1" applyNumberFormat="1" applyFont="1" applyBorder="1" applyAlignment="1">
      <alignment horizontal="center" vertical="top" wrapText="1"/>
    </xf>
    <xf numFmtId="0" fontId="2" fillId="0" borderId="12" xfId="1" applyNumberFormat="1" applyFont="1" applyBorder="1" applyAlignment="1">
      <alignment horizontal="center" wrapText="1"/>
    </xf>
    <xf numFmtId="0" fontId="2" fillId="0" borderId="13" xfId="1" applyNumberFormat="1" applyFont="1" applyBorder="1" applyAlignment="1">
      <alignment horizontal="center" wrapText="1"/>
    </xf>
    <xf numFmtId="0" fontId="2" fillId="0" borderId="14" xfId="1" applyNumberFormat="1" applyFont="1" applyBorder="1" applyAlignment="1">
      <alignment horizontal="center" wrapText="1"/>
    </xf>
    <xf numFmtId="0" fontId="12" fillId="0" borderId="5" xfId="1" applyNumberFormat="1" applyFont="1" applyBorder="1" applyAlignment="1">
      <alignment horizontal="left" vertical="top" wrapText="1"/>
    </xf>
    <xf numFmtId="0" fontId="12" fillId="0" borderId="15" xfId="1" applyNumberFormat="1" applyFont="1" applyBorder="1" applyAlignment="1">
      <alignment horizontal="left" vertical="top" wrapText="1"/>
    </xf>
    <xf numFmtId="0" fontId="2" fillId="0" borderId="5" xfId="1" applyNumberFormat="1" applyBorder="1" applyAlignment="1">
      <alignment horizontal="left" vertical="top" wrapText="1"/>
    </xf>
    <xf numFmtId="0" fontId="2" fillId="0" borderId="16" xfId="1" applyNumberFormat="1" applyBorder="1" applyAlignment="1">
      <alignment horizontal="left" vertical="top" wrapText="1"/>
    </xf>
    <xf numFmtId="0" fontId="2" fillId="0" borderId="15" xfId="1" applyNumberFormat="1" applyBorder="1" applyAlignment="1">
      <alignment horizontal="left" vertical="top" wrapText="1"/>
    </xf>
    <xf numFmtId="0" fontId="12" fillId="0" borderId="18" xfId="1" applyNumberFormat="1" applyFont="1" applyBorder="1" applyAlignment="1">
      <alignment horizontal="left" vertical="top" wrapText="1"/>
    </xf>
    <xf numFmtId="0" fontId="12" fillId="0" borderId="19" xfId="1" applyNumberFormat="1" applyFont="1" applyBorder="1" applyAlignment="1">
      <alignment horizontal="left" vertical="top" wrapText="1"/>
    </xf>
    <xf numFmtId="0" fontId="12" fillId="0" borderId="20" xfId="1" applyNumberFormat="1" applyFont="1" applyBorder="1" applyAlignment="1">
      <alignment horizontal="left" vertical="top" wrapText="1"/>
    </xf>
    <xf numFmtId="0" fontId="2" fillId="0" borderId="22" xfId="1" applyNumberFormat="1" applyFont="1" applyBorder="1" applyAlignment="1">
      <alignment horizontal="left" vertical="top" wrapText="1"/>
    </xf>
    <xf numFmtId="0" fontId="2" fillId="0" borderId="23" xfId="1" applyNumberFormat="1" applyFont="1" applyBorder="1" applyAlignment="1">
      <alignment horizontal="left" vertical="top" wrapText="1"/>
    </xf>
    <xf numFmtId="0" fontId="2" fillId="0" borderId="24" xfId="1" applyNumberFormat="1" applyFont="1" applyBorder="1" applyAlignment="1">
      <alignment horizontal="left" vertical="top" wrapText="1"/>
    </xf>
    <xf numFmtId="0" fontId="2" fillId="0" borderId="4" xfId="1" applyNumberFormat="1" applyFont="1" applyBorder="1" applyAlignment="1">
      <alignment horizontal="left" vertical="top" wrapText="1"/>
    </xf>
    <xf numFmtId="0" fontId="2" fillId="0" borderId="25" xfId="1" applyNumberFormat="1" applyFont="1" applyBorder="1" applyAlignment="1">
      <alignment horizontal="left" vertical="top" wrapText="1"/>
    </xf>
    <xf numFmtId="0" fontId="2" fillId="0" borderId="26" xfId="1" applyNumberFormat="1" applyFont="1" applyBorder="1" applyAlignment="1">
      <alignment horizontal="left" vertical="top" wrapText="1"/>
    </xf>
    <xf numFmtId="0" fontId="12" fillId="0" borderId="3" xfId="1" applyNumberFormat="1" applyFont="1" applyBorder="1" applyAlignment="1">
      <alignment horizontal="left" vertical="top" wrapText="1"/>
    </xf>
    <xf numFmtId="0" fontId="12" fillId="0" borderId="29" xfId="1" applyNumberFormat="1" applyFont="1" applyBorder="1" applyAlignment="1">
      <alignment horizontal="left" vertical="top" wrapText="1"/>
    </xf>
    <xf numFmtId="0" fontId="12" fillId="0" borderId="30" xfId="1" applyNumberFormat="1" applyFont="1" applyBorder="1" applyAlignment="1">
      <alignment horizontal="left" vertical="top" wrapText="1"/>
    </xf>
    <xf numFmtId="0" fontId="2" fillId="0" borderId="3" xfId="1" applyNumberFormat="1" applyFont="1" applyBorder="1" applyAlignment="1">
      <alignment horizontal="left" vertical="top" wrapText="1"/>
    </xf>
    <xf numFmtId="0" fontId="2" fillId="0" borderId="29" xfId="1" applyNumberFormat="1" applyFont="1" applyBorder="1" applyAlignment="1">
      <alignment horizontal="left" vertical="top" wrapText="1"/>
    </xf>
    <xf numFmtId="0" fontId="2" fillId="0" borderId="30" xfId="1" applyNumberFormat="1" applyFont="1" applyBorder="1" applyAlignment="1">
      <alignment horizontal="left" vertical="top" wrapText="1"/>
    </xf>
    <xf numFmtId="0" fontId="2" fillId="0" borderId="18" xfId="1" applyNumberFormat="1" applyFont="1" applyBorder="1" applyAlignment="1">
      <alignment horizontal="left" vertical="top" wrapText="1"/>
    </xf>
    <xf numFmtId="0" fontId="2" fillId="0" borderId="19" xfId="1" applyNumberFormat="1" applyFont="1" applyBorder="1" applyAlignment="1">
      <alignment horizontal="left" vertical="top" wrapText="1"/>
    </xf>
    <xf numFmtId="0" fontId="2" fillId="0" borderId="20" xfId="1" applyNumberFormat="1" applyFont="1" applyBorder="1" applyAlignment="1">
      <alignment horizontal="left" vertical="top" wrapText="1"/>
    </xf>
    <xf numFmtId="0" fontId="12" fillId="0" borderId="2" xfId="1" applyNumberFormat="1" applyFont="1" applyBorder="1" applyAlignment="1">
      <alignment horizontal="center" vertical="top" wrapText="1"/>
    </xf>
    <xf numFmtId="0" fontId="2" fillId="0" borderId="2" xfId="1" applyNumberFormat="1" applyFont="1" applyBorder="1" applyAlignment="1">
      <alignment horizontal="center" vertical="center" wrapText="1"/>
    </xf>
    <xf numFmtId="0" fontId="12" fillId="0" borderId="31" xfId="1" applyNumberFormat="1" applyFont="1" applyBorder="1" applyAlignment="1">
      <alignment horizontal="left" vertical="top" wrapText="1"/>
    </xf>
    <xf numFmtId="0" fontId="12" fillId="0" borderId="33" xfId="1" applyNumberFormat="1" applyFont="1" applyBorder="1" applyAlignment="1">
      <alignment horizontal="left" vertical="top" wrapText="1"/>
    </xf>
    <xf numFmtId="0" fontId="2" fillId="0" borderId="31" xfId="1" applyNumberFormat="1" applyFont="1" applyBorder="1" applyAlignment="1">
      <alignment horizontal="left" vertical="top" wrapText="1"/>
    </xf>
    <xf numFmtId="0" fontId="2" fillId="0" borderId="32" xfId="1" applyNumberFormat="1" applyFont="1" applyBorder="1" applyAlignment="1">
      <alignment horizontal="left" vertical="top" wrapText="1"/>
    </xf>
    <xf numFmtId="0" fontId="2" fillId="0" borderId="33" xfId="1" applyNumberFormat="1" applyFont="1" applyBorder="1" applyAlignment="1">
      <alignment horizontal="left" vertical="top" wrapText="1"/>
    </xf>
    <xf numFmtId="0" fontId="2" fillId="0" borderId="6" xfId="1" applyNumberFormat="1" applyFont="1" applyBorder="1" applyAlignment="1">
      <alignment horizontal="center" vertical="top" wrapText="1"/>
    </xf>
    <xf numFmtId="0" fontId="2" fillId="0" borderId="28" xfId="1" applyNumberFormat="1" applyFont="1" applyBorder="1" applyAlignment="1">
      <alignment horizontal="center" vertical="top" wrapText="1"/>
    </xf>
    <xf numFmtId="0" fontId="2" fillId="0" borderId="34" xfId="1" applyNumberFormat="1" applyFont="1" applyBorder="1" applyAlignment="1">
      <alignment horizontal="left" vertical="top" wrapText="1"/>
    </xf>
    <xf numFmtId="0" fontId="2" fillId="0" borderId="36" xfId="1" applyNumberFormat="1" applyFont="1" applyBorder="1" applyAlignment="1">
      <alignment horizontal="left" vertical="top" wrapText="1"/>
    </xf>
    <xf numFmtId="0" fontId="2" fillId="0" borderId="35" xfId="1" applyNumberFormat="1" applyFont="1" applyBorder="1" applyAlignment="1">
      <alignment horizontal="left" vertical="top" wrapText="1"/>
    </xf>
    <xf numFmtId="0" fontId="2" fillId="0" borderId="31" xfId="1" applyNumberFormat="1" applyBorder="1" applyAlignment="1">
      <alignment horizontal="left" vertical="top" wrapText="1"/>
    </xf>
    <xf numFmtId="0" fontId="2" fillId="0" borderId="32" xfId="1" applyNumberFormat="1" applyBorder="1" applyAlignment="1">
      <alignment horizontal="left" vertical="top" wrapText="1"/>
    </xf>
    <xf numFmtId="0" fontId="2" fillId="0" borderId="33" xfId="1" applyNumberFormat="1" applyBorder="1" applyAlignment="1">
      <alignment horizontal="left" vertical="top" wrapText="1"/>
    </xf>
    <xf numFmtId="0" fontId="2" fillId="0" borderId="37" xfId="1" applyNumberFormat="1" applyFont="1" applyBorder="1" applyAlignment="1">
      <alignment horizontal="center" vertical="top" wrapText="1"/>
    </xf>
    <xf numFmtId="0" fontId="2" fillId="0" borderId="38" xfId="1" applyNumberFormat="1" applyFont="1" applyBorder="1" applyAlignment="1">
      <alignment horizontal="center" vertical="top" wrapText="1"/>
    </xf>
    <xf numFmtId="0" fontId="2" fillId="0" borderId="39" xfId="1" applyNumberFormat="1" applyFont="1" applyBorder="1" applyAlignment="1">
      <alignment horizontal="center" vertical="top" wrapText="1"/>
    </xf>
  </cellXfs>
  <cellStyles count="4">
    <cellStyle name="Обычный" xfId="0" builtinId="0"/>
    <cellStyle name="Обычный 2" xfId="1"/>
    <cellStyle name="Обычный 4" xfId="3"/>
    <cellStyle name="Обычный_557-ТП 396-акт" xfId="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worksheet" Target="worksheets/sheet55.xml"/><Relationship Id="rId63" Type="http://schemas.openxmlformats.org/officeDocument/2006/relationships/worksheet" Target="worksheets/sheet63.xml"/><Relationship Id="rId68" Type="http://schemas.openxmlformats.org/officeDocument/2006/relationships/worksheet" Target="worksheets/sheet68.xml"/><Relationship Id="rId76" Type="http://schemas.openxmlformats.org/officeDocument/2006/relationships/sharedStrings" Target="sharedStrings.xml"/><Relationship Id="rId7" Type="http://schemas.openxmlformats.org/officeDocument/2006/relationships/worksheet" Target="worksheets/sheet7.xml"/><Relationship Id="rId71" Type="http://schemas.openxmlformats.org/officeDocument/2006/relationships/worksheet" Target="worksheets/sheet71.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worksheet" Target="worksheets/sheet66.xml"/><Relationship Id="rId74"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61" Type="http://schemas.openxmlformats.org/officeDocument/2006/relationships/worksheet" Target="worksheets/sheet6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worksheet" Target="worksheets/sheet69.xml"/><Relationship Id="rId77" Type="http://schemas.openxmlformats.org/officeDocument/2006/relationships/calcChain" Target="calcChain.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40.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41.bin"/></Relationships>
</file>

<file path=xl/worksheets/_rels/sheet42.xml.rels><?xml version="1.0" encoding="UTF-8" standalone="yes"?>
<Relationships xmlns="http://schemas.openxmlformats.org/package/2006/relationships"><Relationship Id="rId1" Type="http://schemas.openxmlformats.org/officeDocument/2006/relationships/printerSettings" Target="../printerSettings/printerSettings42.bin"/></Relationships>
</file>

<file path=xl/worksheets/_rels/sheet43.xml.rels><?xml version="1.0" encoding="UTF-8" standalone="yes"?>
<Relationships xmlns="http://schemas.openxmlformats.org/package/2006/relationships"><Relationship Id="rId1" Type="http://schemas.openxmlformats.org/officeDocument/2006/relationships/printerSettings" Target="../printerSettings/printerSettings43.bin"/></Relationships>
</file>

<file path=xl/worksheets/_rels/sheet44.xml.rels><?xml version="1.0" encoding="UTF-8" standalone="yes"?>
<Relationships xmlns="http://schemas.openxmlformats.org/package/2006/relationships"><Relationship Id="rId1" Type="http://schemas.openxmlformats.org/officeDocument/2006/relationships/printerSettings" Target="../printerSettings/printerSettings44.bin"/></Relationships>
</file>

<file path=xl/worksheets/_rels/sheet45.xml.rels><?xml version="1.0" encoding="UTF-8" standalone="yes"?>
<Relationships xmlns="http://schemas.openxmlformats.org/package/2006/relationships"><Relationship Id="rId1" Type="http://schemas.openxmlformats.org/officeDocument/2006/relationships/printerSettings" Target="../printerSettings/printerSettings45.bin"/></Relationships>
</file>

<file path=xl/worksheets/_rels/sheet46.xml.rels><?xml version="1.0" encoding="UTF-8" standalone="yes"?>
<Relationships xmlns="http://schemas.openxmlformats.org/package/2006/relationships"><Relationship Id="rId1" Type="http://schemas.openxmlformats.org/officeDocument/2006/relationships/printerSettings" Target="../printerSettings/printerSettings46.bin"/></Relationships>
</file>

<file path=xl/worksheets/_rels/sheet47.xml.rels><?xml version="1.0" encoding="UTF-8" standalone="yes"?>
<Relationships xmlns="http://schemas.openxmlformats.org/package/2006/relationships"><Relationship Id="rId1" Type="http://schemas.openxmlformats.org/officeDocument/2006/relationships/printerSettings" Target="../printerSettings/printerSettings47.bin"/></Relationships>
</file>

<file path=xl/worksheets/_rels/sheet48.xml.rels><?xml version="1.0" encoding="UTF-8" standalone="yes"?>
<Relationships xmlns="http://schemas.openxmlformats.org/package/2006/relationships"><Relationship Id="rId1" Type="http://schemas.openxmlformats.org/officeDocument/2006/relationships/printerSettings" Target="../printerSettings/printerSettings48.bin"/></Relationships>
</file>

<file path=xl/worksheets/_rels/sheet49.xml.rels><?xml version="1.0" encoding="UTF-8" standalone="yes"?>
<Relationships xmlns="http://schemas.openxmlformats.org/package/2006/relationships"><Relationship Id="rId1" Type="http://schemas.openxmlformats.org/officeDocument/2006/relationships/printerSettings" Target="../printerSettings/printerSettings49.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50.xml.rels><?xml version="1.0" encoding="UTF-8" standalone="yes"?>
<Relationships xmlns="http://schemas.openxmlformats.org/package/2006/relationships"><Relationship Id="rId1" Type="http://schemas.openxmlformats.org/officeDocument/2006/relationships/printerSettings" Target="../printerSettings/printerSettings50.bin"/></Relationships>
</file>

<file path=xl/worksheets/_rels/sheet51.xml.rels><?xml version="1.0" encoding="UTF-8" standalone="yes"?>
<Relationships xmlns="http://schemas.openxmlformats.org/package/2006/relationships"><Relationship Id="rId1" Type="http://schemas.openxmlformats.org/officeDocument/2006/relationships/printerSettings" Target="../printerSettings/printerSettings51.bin"/></Relationships>
</file>

<file path=xl/worksheets/_rels/sheet52.xml.rels><?xml version="1.0" encoding="UTF-8" standalone="yes"?>
<Relationships xmlns="http://schemas.openxmlformats.org/package/2006/relationships"><Relationship Id="rId1" Type="http://schemas.openxmlformats.org/officeDocument/2006/relationships/printerSettings" Target="../printerSettings/printerSettings52.bin"/></Relationships>
</file>

<file path=xl/worksheets/_rels/sheet53.xml.rels><?xml version="1.0" encoding="UTF-8" standalone="yes"?>
<Relationships xmlns="http://schemas.openxmlformats.org/package/2006/relationships"><Relationship Id="rId1" Type="http://schemas.openxmlformats.org/officeDocument/2006/relationships/printerSettings" Target="../printerSettings/printerSettings53.bin"/></Relationships>
</file>

<file path=xl/worksheets/_rels/sheet54.xml.rels><?xml version="1.0" encoding="UTF-8" standalone="yes"?>
<Relationships xmlns="http://schemas.openxmlformats.org/package/2006/relationships"><Relationship Id="rId1" Type="http://schemas.openxmlformats.org/officeDocument/2006/relationships/printerSettings" Target="../printerSettings/printerSettings54.bin"/></Relationships>
</file>

<file path=xl/worksheets/_rels/sheet55.xml.rels><?xml version="1.0" encoding="UTF-8" standalone="yes"?>
<Relationships xmlns="http://schemas.openxmlformats.org/package/2006/relationships"><Relationship Id="rId1" Type="http://schemas.openxmlformats.org/officeDocument/2006/relationships/printerSettings" Target="../printerSettings/printerSettings55.bin"/></Relationships>
</file>

<file path=xl/worksheets/_rels/sheet56.xml.rels><?xml version="1.0" encoding="UTF-8" standalone="yes"?>
<Relationships xmlns="http://schemas.openxmlformats.org/package/2006/relationships"><Relationship Id="rId1" Type="http://schemas.openxmlformats.org/officeDocument/2006/relationships/printerSettings" Target="../printerSettings/printerSettings56.bin"/></Relationships>
</file>

<file path=xl/worksheets/_rels/sheet57.xml.rels><?xml version="1.0" encoding="UTF-8" standalone="yes"?>
<Relationships xmlns="http://schemas.openxmlformats.org/package/2006/relationships"><Relationship Id="rId1" Type="http://schemas.openxmlformats.org/officeDocument/2006/relationships/printerSettings" Target="../printerSettings/printerSettings57.bin"/></Relationships>
</file>

<file path=xl/worksheets/_rels/sheet58.xml.rels><?xml version="1.0" encoding="UTF-8" standalone="yes"?>
<Relationships xmlns="http://schemas.openxmlformats.org/package/2006/relationships"><Relationship Id="rId1" Type="http://schemas.openxmlformats.org/officeDocument/2006/relationships/printerSettings" Target="../printerSettings/printerSettings58.bin"/></Relationships>
</file>

<file path=xl/worksheets/_rels/sheet59.xml.rels><?xml version="1.0" encoding="UTF-8" standalone="yes"?>
<Relationships xmlns="http://schemas.openxmlformats.org/package/2006/relationships"><Relationship Id="rId1" Type="http://schemas.openxmlformats.org/officeDocument/2006/relationships/printerSettings" Target="../printerSettings/printerSettings59.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60.xml.rels><?xml version="1.0" encoding="UTF-8" standalone="yes"?>
<Relationships xmlns="http://schemas.openxmlformats.org/package/2006/relationships"><Relationship Id="rId1" Type="http://schemas.openxmlformats.org/officeDocument/2006/relationships/printerSettings" Target="../printerSettings/printerSettings60.bin"/></Relationships>
</file>

<file path=xl/worksheets/_rels/sheet61.xml.rels><?xml version="1.0" encoding="UTF-8" standalone="yes"?>
<Relationships xmlns="http://schemas.openxmlformats.org/package/2006/relationships"><Relationship Id="rId1" Type="http://schemas.openxmlformats.org/officeDocument/2006/relationships/printerSettings" Target="../printerSettings/printerSettings61.bin"/></Relationships>
</file>

<file path=xl/worksheets/_rels/sheet62.xml.rels><?xml version="1.0" encoding="UTF-8" standalone="yes"?>
<Relationships xmlns="http://schemas.openxmlformats.org/package/2006/relationships"><Relationship Id="rId1" Type="http://schemas.openxmlformats.org/officeDocument/2006/relationships/printerSettings" Target="../printerSettings/printerSettings62.bin"/></Relationships>
</file>

<file path=xl/worksheets/_rels/sheet63.xml.rels><?xml version="1.0" encoding="UTF-8" standalone="yes"?>
<Relationships xmlns="http://schemas.openxmlformats.org/package/2006/relationships"><Relationship Id="rId1" Type="http://schemas.openxmlformats.org/officeDocument/2006/relationships/printerSettings" Target="../printerSettings/printerSettings63.bin"/></Relationships>
</file>

<file path=xl/worksheets/_rels/sheet64.xml.rels><?xml version="1.0" encoding="UTF-8" standalone="yes"?>
<Relationships xmlns="http://schemas.openxmlformats.org/package/2006/relationships"><Relationship Id="rId1" Type="http://schemas.openxmlformats.org/officeDocument/2006/relationships/printerSettings" Target="../printerSettings/printerSettings64.bin"/></Relationships>
</file>

<file path=xl/worksheets/_rels/sheet65.xml.rels><?xml version="1.0" encoding="UTF-8" standalone="yes"?>
<Relationships xmlns="http://schemas.openxmlformats.org/package/2006/relationships"><Relationship Id="rId1" Type="http://schemas.openxmlformats.org/officeDocument/2006/relationships/printerSettings" Target="../printerSettings/printerSettings65.bin"/></Relationships>
</file>

<file path=xl/worksheets/_rels/sheet66.xml.rels><?xml version="1.0" encoding="UTF-8" standalone="yes"?>
<Relationships xmlns="http://schemas.openxmlformats.org/package/2006/relationships"><Relationship Id="rId1" Type="http://schemas.openxmlformats.org/officeDocument/2006/relationships/printerSettings" Target="../printerSettings/printerSettings66.bin"/></Relationships>
</file>

<file path=xl/worksheets/_rels/sheet67.xml.rels><?xml version="1.0" encoding="UTF-8" standalone="yes"?>
<Relationships xmlns="http://schemas.openxmlformats.org/package/2006/relationships"><Relationship Id="rId1" Type="http://schemas.openxmlformats.org/officeDocument/2006/relationships/printerSettings" Target="../printerSettings/printerSettings67.bin"/></Relationships>
</file>

<file path=xl/worksheets/_rels/sheet68.xml.rels><?xml version="1.0" encoding="UTF-8" standalone="yes"?>
<Relationships xmlns="http://schemas.openxmlformats.org/package/2006/relationships"><Relationship Id="rId1" Type="http://schemas.openxmlformats.org/officeDocument/2006/relationships/printerSettings" Target="../printerSettings/printerSettings68.bin"/></Relationships>
</file>

<file path=xl/worksheets/_rels/sheet69.xml.rels><?xml version="1.0" encoding="UTF-8" standalone="yes"?>
<Relationships xmlns="http://schemas.openxmlformats.org/package/2006/relationships"><Relationship Id="rId1" Type="http://schemas.openxmlformats.org/officeDocument/2006/relationships/printerSettings" Target="../printerSettings/printerSettings69.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70.xml.rels><?xml version="1.0" encoding="UTF-8" standalone="yes"?>
<Relationships xmlns="http://schemas.openxmlformats.org/package/2006/relationships"><Relationship Id="rId1" Type="http://schemas.openxmlformats.org/officeDocument/2006/relationships/printerSettings" Target="../printerSettings/printerSettings70.bin"/></Relationships>
</file>

<file path=xl/worksheets/_rels/sheet71.xml.rels><?xml version="1.0" encoding="UTF-8" standalone="yes"?>
<Relationships xmlns="http://schemas.openxmlformats.org/package/2006/relationships"><Relationship Id="rId1" Type="http://schemas.openxmlformats.org/officeDocument/2006/relationships/printerSettings" Target="../printerSettings/printerSettings71.bin"/></Relationships>
</file>

<file path=xl/worksheets/_rels/sheet72.xml.rels><?xml version="1.0" encoding="UTF-8" standalone="yes"?>
<Relationships xmlns="http://schemas.openxmlformats.org/package/2006/relationships"><Relationship Id="rId1" Type="http://schemas.openxmlformats.org/officeDocument/2006/relationships/printerSettings" Target="../printerSettings/printerSettings72.bin"/></Relationships>
</file>

<file path=xl/worksheets/_rels/sheet73.xml.rels><?xml version="1.0" encoding="UTF-8" standalone="yes"?>
<Relationships xmlns="http://schemas.openxmlformats.org/package/2006/relationships"><Relationship Id="rId1" Type="http://schemas.openxmlformats.org/officeDocument/2006/relationships/printerSettings" Target="../printerSettings/printerSettings73.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4"/>
  <sheetViews>
    <sheetView zoomScaleNormal="100" workbookViewId="0">
      <selection activeCell="D18" sqref="D18"/>
    </sheetView>
  </sheetViews>
  <sheetFormatPr defaultRowHeight="15.75" x14ac:dyDescent="0.25"/>
  <cols>
    <col min="1" max="1" width="4.7109375" style="1" customWidth="1"/>
    <col min="2" max="2" width="26.140625" style="1" customWidth="1"/>
    <col min="3" max="3" width="33" style="1" customWidth="1"/>
    <col min="4" max="4" width="26.7109375" style="1" customWidth="1"/>
    <col min="5" max="5" width="11.85546875" style="1" customWidth="1"/>
    <col min="6" max="16384" width="9.140625" style="1"/>
  </cols>
  <sheetData>
    <row r="1" spans="1:5" x14ac:dyDescent="0.25">
      <c r="B1" s="188" t="s">
        <v>0</v>
      </c>
      <c r="C1" s="188"/>
      <c r="D1" s="188"/>
    </row>
    <row r="3" spans="1:5" x14ac:dyDescent="0.25">
      <c r="A3" s="1" t="s">
        <v>1</v>
      </c>
      <c r="D3" s="2" t="s">
        <v>2</v>
      </c>
      <c r="E3" s="3"/>
    </row>
    <row r="4" spans="1:5" x14ac:dyDescent="0.25">
      <c r="A4" s="1" t="s">
        <v>3</v>
      </c>
      <c r="D4" s="2" t="s">
        <v>4</v>
      </c>
      <c r="E4" s="3"/>
    </row>
    <row r="5" spans="1:5" x14ac:dyDescent="0.25">
      <c r="A5" s="1" t="s">
        <v>5</v>
      </c>
      <c r="D5" s="2" t="s">
        <v>6</v>
      </c>
      <c r="E5" s="3"/>
    </row>
    <row r="6" spans="1:5" x14ac:dyDescent="0.25">
      <c r="D6" s="3"/>
      <c r="E6" s="3"/>
    </row>
    <row r="7" spans="1:5" x14ac:dyDescent="0.25">
      <c r="A7" s="4" t="s">
        <v>7</v>
      </c>
      <c r="D7" s="2" t="s">
        <v>8</v>
      </c>
      <c r="E7" s="3"/>
    </row>
    <row r="8" spans="1:5" x14ac:dyDescent="0.25">
      <c r="A8" s="4" t="s">
        <v>9</v>
      </c>
      <c r="D8" s="2" t="str">
        <f>A8</f>
        <v>"___" ___________ 2017 г.</v>
      </c>
      <c r="E8" s="3"/>
    </row>
    <row r="9" spans="1:5" x14ac:dyDescent="0.25">
      <c r="A9" s="4"/>
      <c r="D9" s="5"/>
      <c r="E9" s="6"/>
    </row>
    <row r="10" spans="1:5" ht="18" customHeight="1" x14ac:dyDescent="0.25">
      <c r="A10" s="189" t="s">
        <v>10</v>
      </c>
      <c r="B10" s="189"/>
      <c r="C10" s="189"/>
      <c r="D10" s="189"/>
      <c r="E10" s="189"/>
    </row>
    <row r="11" spans="1:5" x14ac:dyDescent="0.25">
      <c r="C11" s="7" t="s">
        <v>11</v>
      </c>
    </row>
    <row r="12" spans="1:5" x14ac:dyDescent="0.25">
      <c r="C12" s="7"/>
    </row>
    <row r="13" spans="1:5" ht="20.25" customHeight="1" x14ac:dyDescent="0.25">
      <c r="A13" s="190" t="s">
        <v>35</v>
      </c>
      <c r="B13" s="190"/>
      <c r="C13" s="190"/>
      <c r="D13" s="190"/>
      <c r="E13" s="190"/>
    </row>
    <row r="14" spans="1:5" ht="0.75" hidden="1" customHeight="1" x14ac:dyDescent="0.25">
      <c r="A14" s="190"/>
      <c r="B14" s="190"/>
      <c r="C14" s="190"/>
      <c r="D14" s="190"/>
      <c r="E14" s="190"/>
    </row>
    <row r="15" spans="1:5" x14ac:dyDescent="0.25">
      <c r="A15" s="8"/>
      <c r="B15" s="8"/>
      <c r="C15" s="8"/>
      <c r="D15" s="8"/>
      <c r="E15" s="8"/>
    </row>
    <row r="16" spans="1:5" ht="95.25" customHeight="1" x14ac:dyDescent="0.25">
      <c r="A16" s="9" t="s">
        <v>12</v>
      </c>
      <c r="B16" s="9" t="s">
        <v>13</v>
      </c>
      <c r="C16" s="9" t="s">
        <v>14</v>
      </c>
      <c r="D16" s="9" t="s">
        <v>15</v>
      </c>
      <c r="E16" s="9" t="s">
        <v>16</v>
      </c>
    </row>
    <row r="17" spans="1:5" ht="123.75" customHeight="1" x14ac:dyDescent="0.25">
      <c r="A17" s="10">
        <v>1</v>
      </c>
      <c r="B17" s="11" t="s">
        <v>32</v>
      </c>
      <c r="C17" s="11" t="s">
        <v>33</v>
      </c>
      <c r="D17" s="12" t="s">
        <v>34</v>
      </c>
      <c r="E17" s="13">
        <f>4811.71*2.4*1.2*0.805*3.99</f>
        <v>44510.319171360003</v>
      </c>
    </row>
    <row r="18" spans="1:5" ht="57.75" customHeight="1" x14ac:dyDescent="0.25">
      <c r="A18" s="10">
        <v>2</v>
      </c>
      <c r="B18" s="14" t="s">
        <v>17</v>
      </c>
      <c r="C18" s="12" t="s">
        <v>18</v>
      </c>
      <c r="D18" s="12" t="s">
        <v>19</v>
      </c>
      <c r="E18" s="13">
        <f>800*1*0.5*3.99</f>
        <v>1596</v>
      </c>
    </row>
    <row r="19" spans="1:5" ht="48" customHeight="1" x14ac:dyDescent="0.25">
      <c r="A19" s="10">
        <v>3</v>
      </c>
      <c r="B19" s="12" t="s">
        <v>20</v>
      </c>
      <c r="C19" s="15" t="s">
        <v>21</v>
      </c>
      <c r="D19" s="16">
        <f>(E17+E18)*0.1</f>
        <v>4610.6319171360001</v>
      </c>
      <c r="E19" s="17">
        <f>D19</f>
        <v>4610.6319171360001</v>
      </c>
    </row>
    <row r="20" spans="1:5" ht="48" customHeight="1" x14ac:dyDescent="0.25">
      <c r="A20" s="10">
        <v>4</v>
      </c>
      <c r="B20" s="12" t="s">
        <v>22</v>
      </c>
      <c r="C20" s="15"/>
      <c r="D20" s="16"/>
      <c r="E20" s="17">
        <v>21186.45</v>
      </c>
    </row>
    <row r="21" spans="1:5" ht="48" customHeight="1" x14ac:dyDescent="0.25">
      <c r="A21" s="10">
        <v>5</v>
      </c>
      <c r="B21" s="12" t="s">
        <v>23</v>
      </c>
      <c r="C21" s="15"/>
      <c r="D21" s="16"/>
      <c r="E21" s="17">
        <v>30216.21</v>
      </c>
    </row>
    <row r="22" spans="1:5" x14ac:dyDescent="0.25">
      <c r="A22" s="18"/>
      <c r="B22" s="19" t="s">
        <v>24</v>
      </c>
      <c r="C22" s="15"/>
      <c r="D22" s="15"/>
      <c r="E22" s="17">
        <f>E21+E20+E19+E18+E17</f>
        <v>102119.61108849601</v>
      </c>
    </row>
    <row r="23" spans="1:5" x14ac:dyDescent="0.25">
      <c r="A23" s="18"/>
      <c r="B23" s="19" t="s">
        <v>25</v>
      </c>
      <c r="C23" s="15"/>
      <c r="D23" s="15"/>
      <c r="E23" s="17">
        <f>ROUND(E22*18%,2)</f>
        <v>18381.53</v>
      </c>
    </row>
    <row r="24" spans="1:5" x14ac:dyDescent="0.25">
      <c r="A24" s="18"/>
      <c r="B24" s="19" t="s">
        <v>26</v>
      </c>
      <c r="C24" s="15"/>
      <c r="D24" s="15"/>
      <c r="E24" s="17">
        <f>E22+E23</f>
        <v>120501.14108849601</v>
      </c>
    </row>
    <row r="25" spans="1:5" x14ac:dyDescent="0.25">
      <c r="A25" s="20"/>
      <c r="B25" s="21"/>
      <c r="C25" s="22"/>
      <c r="D25" s="22"/>
      <c r="E25" s="23"/>
    </row>
    <row r="26" spans="1:5" x14ac:dyDescent="0.25">
      <c r="A26" s="1" t="s">
        <v>2</v>
      </c>
    </row>
    <row r="27" spans="1:5" x14ac:dyDescent="0.25">
      <c r="A27" s="1" t="s">
        <v>27</v>
      </c>
    </row>
    <row r="28" spans="1:5" x14ac:dyDescent="0.25">
      <c r="A28" s="1" t="s">
        <v>31</v>
      </c>
    </row>
    <row r="29" spans="1:5" x14ac:dyDescent="0.25">
      <c r="A29" s="4" t="s">
        <v>28</v>
      </c>
    </row>
    <row r="30" spans="1:5" x14ac:dyDescent="0.25">
      <c r="A30" s="1" t="s">
        <v>29</v>
      </c>
    </row>
    <row r="34" spans="5:5" x14ac:dyDescent="0.25">
      <c r="E34" s="1" t="s">
        <v>30</v>
      </c>
    </row>
  </sheetData>
  <mergeCells count="4">
    <mergeCell ref="B1:D1"/>
    <mergeCell ref="A10:E10"/>
    <mergeCell ref="A13:E13"/>
    <mergeCell ref="A14:E14"/>
  </mergeCells>
  <pageMargins left="0.19685039370078741" right="0.19685039370078741" top="0.19685039370078741" bottom="0.19685039370078741" header="0.51181102362204722" footer="0.51181102362204722"/>
  <pageSetup paperSize="9" orientation="portrait"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2"/>
  <sheetViews>
    <sheetView topLeftCell="A13" zoomScaleNormal="100" workbookViewId="0">
      <selection activeCell="B27" sqref="B27"/>
    </sheetView>
  </sheetViews>
  <sheetFormatPr defaultRowHeight="15.75" x14ac:dyDescent="0.25"/>
  <cols>
    <col min="1" max="1" width="4.7109375" style="1" customWidth="1"/>
    <col min="2" max="2" width="26.140625" style="1" customWidth="1"/>
    <col min="3" max="3" width="33" style="1" customWidth="1"/>
    <col min="4" max="4" width="26.7109375" style="1" customWidth="1"/>
    <col min="5" max="5" width="11.85546875" style="1" customWidth="1"/>
    <col min="6" max="16384" width="9.140625" style="1"/>
  </cols>
  <sheetData>
    <row r="1" spans="1:5" x14ac:dyDescent="0.25">
      <c r="B1" s="188" t="s">
        <v>55</v>
      </c>
      <c r="C1" s="188"/>
      <c r="D1" s="188"/>
    </row>
    <row r="3" spans="1:5" x14ac:dyDescent="0.25">
      <c r="A3" s="1" t="s">
        <v>1</v>
      </c>
      <c r="D3" s="2" t="s">
        <v>2</v>
      </c>
      <c r="E3" s="3"/>
    </row>
    <row r="4" spans="1:5" x14ac:dyDescent="0.25">
      <c r="A4" s="1" t="s">
        <v>3</v>
      </c>
      <c r="D4" s="2" t="s">
        <v>4</v>
      </c>
      <c r="E4" s="3"/>
    </row>
    <row r="5" spans="1:5" x14ac:dyDescent="0.25">
      <c r="A5" s="1" t="s">
        <v>5</v>
      </c>
      <c r="D5" s="2" t="s">
        <v>6</v>
      </c>
      <c r="E5" s="3"/>
    </row>
    <row r="6" spans="1:5" x14ac:dyDescent="0.25">
      <c r="D6" s="3"/>
      <c r="E6" s="3"/>
    </row>
    <row r="7" spans="1:5" x14ac:dyDescent="0.25">
      <c r="A7" s="4" t="s">
        <v>54</v>
      </c>
      <c r="D7" s="2" t="s">
        <v>8</v>
      </c>
      <c r="E7" s="3"/>
    </row>
    <row r="8" spans="1:5" x14ac:dyDescent="0.25">
      <c r="A8" s="4" t="s">
        <v>45</v>
      </c>
      <c r="D8" s="2" t="str">
        <f>A8</f>
        <v>"___" ___________ 2018 г.</v>
      </c>
      <c r="E8" s="3"/>
    </row>
    <row r="9" spans="1:5" x14ac:dyDescent="0.25">
      <c r="A9" s="4"/>
      <c r="D9" s="5"/>
      <c r="E9" s="6"/>
    </row>
    <row r="10" spans="1:5" ht="18" customHeight="1" x14ac:dyDescent="0.25">
      <c r="A10" s="189" t="s">
        <v>10</v>
      </c>
      <c r="B10" s="189"/>
      <c r="C10" s="189"/>
      <c r="D10" s="189"/>
      <c r="E10" s="189"/>
    </row>
    <row r="11" spans="1:5" x14ac:dyDescent="0.25">
      <c r="C11" s="7" t="s">
        <v>11</v>
      </c>
    </row>
    <row r="12" spans="1:5" x14ac:dyDescent="0.25">
      <c r="C12" s="7"/>
    </row>
    <row r="13" spans="1:5" ht="33" customHeight="1" x14ac:dyDescent="0.25">
      <c r="A13" s="190" t="s">
        <v>104</v>
      </c>
      <c r="B13" s="190"/>
      <c r="C13" s="190"/>
      <c r="D13" s="190"/>
      <c r="E13" s="190"/>
    </row>
    <row r="14" spans="1:5" ht="0.75" customHeight="1" x14ac:dyDescent="0.25">
      <c r="A14" s="190"/>
      <c r="B14" s="190"/>
      <c r="C14" s="190"/>
      <c r="D14" s="190"/>
      <c r="E14" s="190"/>
    </row>
    <row r="15" spans="1:5" x14ac:dyDescent="0.25">
      <c r="A15" s="8"/>
      <c r="B15" s="8"/>
      <c r="C15" s="8"/>
      <c r="D15" s="8"/>
      <c r="E15" s="8"/>
    </row>
    <row r="16" spans="1:5" ht="95.25" customHeight="1" x14ac:dyDescent="0.25">
      <c r="A16" s="9" t="s">
        <v>12</v>
      </c>
      <c r="B16" s="9" t="s">
        <v>13</v>
      </c>
      <c r="C16" s="9" t="s">
        <v>14</v>
      </c>
      <c r="D16" s="9" t="s">
        <v>15</v>
      </c>
      <c r="E16" s="9" t="s">
        <v>16</v>
      </c>
    </row>
    <row r="17" spans="1:5" ht="123.75" customHeight="1" x14ac:dyDescent="0.25">
      <c r="A17" s="10">
        <v>1</v>
      </c>
      <c r="B17" s="11" t="s">
        <v>98</v>
      </c>
      <c r="C17" s="11" t="s">
        <v>99</v>
      </c>
      <c r="D17" s="12" t="s">
        <v>100</v>
      </c>
      <c r="E17" s="13">
        <f>1751.1*2.4*1.2*0.805*3.99</f>
        <v>16198.403457599998</v>
      </c>
    </row>
    <row r="18" spans="1:5" ht="57.75" customHeight="1" x14ac:dyDescent="0.25">
      <c r="A18" s="10">
        <v>2</v>
      </c>
      <c r="B18" s="14" t="s">
        <v>17</v>
      </c>
      <c r="C18" s="12" t="s">
        <v>18</v>
      </c>
      <c r="D18" s="12" t="s">
        <v>19</v>
      </c>
      <c r="E18" s="13">
        <f>800*1*0.5*3.99</f>
        <v>1596</v>
      </c>
    </row>
    <row r="19" spans="1:5" ht="48" customHeight="1" x14ac:dyDescent="0.25">
      <c r="A19" s="10">
        <v>3</v>
      </c>
      <c r="B19" s="12" t="s">
        <v>20</v>
      </c>
      <c r="C19" s="15" t="s">
        <v>21</v>
      </c>
      <c r="D19" s="16">
        <f>(E17+E18)*0.1</f>
        <v>1779.4403457599999</v>
      </c>
      <c r="E19" s="17">
        <f>D19</f>
        <v>1779.4403457599999</v>
      </c>
    </row>
    <row r="20" spans="1:5" x14ac:dyDescent="0.25">
      <c r="A20" s="18"/>
      <c r="B20" s="19" t="s">
        <v>24</v>
      </c>
      <c r="C20" s="15"/>
      <c r="D20" s="15"/>
      <c r="E20" s="17">
        <f>+E19+E18+E17</f>
        <v>19573.843803359996</v>
      </c>
    </row>
    <row r="21" spans="1:5" x14ac:dyDescent="0.25">
      <c r="A21" s="18"/>
      <c r="B21" s="19" t="s">
        <v>25</v>
      </c>
      <c r="C21" s="15"/>
      <c r="D21" s="15"/>
      <c r="E21" s="17">
        <f>ROUND(E20*18%,2)</f>
        <v>3523.29</v>
      </c>
    </row>
    <row r="22" spans="1:5" x14ac:dyDescent="0.25">
      <c r="A22" s="18"/>
      <c r="B22" s="19" t="s">
        <v>26</v>
      </c>
      <c r="C22" s="15"/>
      <c r="D22" s="15"/>
      <c r="E22" s="17">
        <f>E20+E21</f>
        <v>23097.133803359997</v>
      </c>
    </row>
    <row r="23" spans="1:5" x14ac:dyDescent="0.25">
      <c r="A23" s="20"/>
      <c r="B23" s="21"/>
      <c r="C23" s="22"/>
      <c r="D23" s="22"/>
      <c r="E23" s="23"/>
    </row>
    <row r="24" spans="1:5" x14ac:dyDescent="0.25">
      <c r="A24" s="1" t="s">
        <v>2</v>
      </c>
    </row>
    <row r="25" spans="1:5" x14ac:dyDescent="0.25">
      <c r="A25" s="1" t="s">
        <v>27</v>
      </c>
    </row>
    <row r="26" spans="1:5" x14ac:dyDescent="0.25">
      <c r="A26" s="1" t="s">
        <v>31</v>
      </c>
    </row>
    <row r="27" spans="1:5" x14ac:dyDescent="0.25">
      <c r="A27" s="4" t="s">
        <v>28</v>
      </c>
    </row>
    <row r="28" spans="1:5" x14ac:dyDescent="0.25">
      <c r="A28" s="1" t="s">
        <v>29</v>
      </c>
    </row>
    <row r="32" spans="1:5" x14ac:dyDescent="0.25">
      <c r="E32" s="1" t="s">
        <v>30</v>
      </c>
    </row>
  </sheetData>
  <mergeCells count="4">
    <mergeCell ref="B1:D1"/>
    <mergeCell ref="A10:E10"/>
    <mergeCell ref="A13:E13"/>
    <mergeCell ref="A14:E14"/>
  </mergeCells>
  <pageMargins left="0.19685039370078741" right="0.19685039370078741" top="0.19685039370078741" bottom="0.19685039370078741" header="0.51181102362204722" footer="0.51181102362204722"/>
  <pageSetup paperSize="9" orientation="portrait"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3"/>
  <sheetViews>
    <sheetView topLeftCell="A13" zoomScaleNormal="100" workbookViewId="0">
      <selection activeCell="D17" sqref="D17"/>
    </sheetView>
  </sheetViews>
  <sheetFormatPr defaultRowHeight="15.75" x14ac:dyDescent="0.25"/>
  <cols>
    <col min="1" max="1" width="4.7109375" style="1" customWidth="1"/>
    <col min="2" max="2" width="26.140625" style="1" customWidth="1"/>
    <col min="3" max="3" width="33" style="1" customWidth="1"/>
    <col min="4" max="4" width="26.7109375" style="1" customWidth="1"/>
    <col min="5" max="5" width="11.85546875" style="1" customWidth="1"/>
    <col min="6" max="16384" width="9.140625" style="1"/>
  </cols>
  <sheetData>
    <row r="1" spans="1:5" x14ac:dyDescent="0.25">
      <c r="B1" s="188" t="s">
        <v>55</v>
      </c>
      <c r="C1" s="188"/>
      <c r="D1" s="188"/>
    </row>
    <row r="3" spans="1:5" x14ac:dyDescent="0.25">
      <c r="A3" s="1" t="s">
        <v>1</v>
      </c>
      <c r="D3" s="2" t="s">
        <v>2</v>
      </c>
      <c r="E3" s="3"/>
    </row>
    <row r="4" spans="1:5" x14ac:dyDescent="0.25">
      <c r="A4" s="1" t="s">
        <v>3</v>
      </c>
      <c r="D4" s="2" t="s">
        <v>4</v>
      </c>
      <c r="E4" s="3"/>
    </row>
    <row r="5" spans="1:5" x14ac:dyDescent="0.25">
      <c r="A5" s="1" t="s">
        <v>5</v>
      </c>
      <c r="D5" s="2" t="s">
        <v>6</v>
      </c>
      <c r="E5" s="3"/>
    </row>
    <row r="6" spans="1:5" x14ac:dyDescent="0.25">
      <c r="D6" s="3"/>
      <c r="E6" s="3"/>
    </row>
    <row r="7" spans="1:5" x14ac:dyDescent="0.25">
      <c r="A7" s="4" t="s">
        <v>54</v>
      </c>
      <c r="D7" s="2" t="s">
        <v>8</v>
      </c>
      <c r="E7" s="3"/>
    </row>
    <row r="8" spans="1:5" x14ac:dyDescent="0.25">
      <c r="A8" s="4" t="s">
        <v>45</v>
      </c>
      <c r="D8" s="2" t="str">
        <f>A8</f>
        <v>"___" ___________ 2018 г.</v>
      </c>
      <c r="E8" s="3"/>
    </row>
    <row r="9" spans="1:5" x14ac:dyDescent="0.25">
      <c r="A9" s="4"/>
      <c r="D9" s="5"/>
      <c r="E9" s="6"/>
    </row>
    <row r="10" spans="1:5" ht="18" customHeight="1" x14ac:dyDescent="0.25">
      <c r="A10" s="189" t="s">
        <v>10</v>
      </c>
      <c r="B10" s="189"/>
      <c r="C10" s="189"/>
      <c r="D10" s="189"/>
      <c r="E10" s="189"/>
    </row>
    <row r="11" spans="1:5" x14ac:dyDescent="0.25">
      <c r="C11" s="7" t="s">
        <v>11</v>
      </c>
    </row>
    <row r="12" spans="1:5" x14ac:dyDescent="0.25">
      <c r="C12" s="7"/>
    </row>
    <row r="13" spans="1:5" ht="33" customHeight="1" x14ac:dyDescent="0.25">
      <c r="A13" s="190" t="s">
        <v>105</v>
      </c>
      <c r="B13" s="190"/>
      <c r="C13" s="190"/>
      <c r="D13" s="190"/>
      <c r="E13" s="190"/>
    </row>
    <row r="14" spans="1:5" ht="0.75" customHeight="1" x14ac:dyDescent="0.25">
      <c r="A14" s="190"/>
      <c r="B14" s="190"/>
      <c r="C14" s="190"/>
      <c r="D14" s="190"/>
      <c r="E14" s="190"/>
    </row>
    <row r="15" spans="1:5" x14ac:dyDescent="0.25">
      <c r="A15" s="8"/>
      <c r="B15" s="8"/>
      <c r="C15" s="8"/>
      <c r="D15" s="8"/>
      <c r="E15" s="8"/>
    </row>
    <row r="16" spans="1:5" ht="95.25" customHeight="1" x14ac:dyDescent="0.25">
      <c r="A16" s="9" t="s">
        <v>12</v>
      </c>
      <c r="B16" s="9" t="s">
        <v>13</v>
      </c>
      <c r="C16" s="9" t="s">
        <v>14</v>
      </c>
      <c r="D16" s="9" t="s">
        <v>15</v>
      </c>
      <c r="E16" s="9" t="s">
        <v>16</v>
      </c>
    </row>
    <row r="17" spans="1:5" ht="123.75" customHeight="1" x14ac:dyDescent="0.25">
      <c r="A17" s="10">
        <v>1</v>
      </c>
      <c r="B17" s="11" t="s">
        <v>101</v>
      </c>
      <c r="C17" s="11" t="s">
        <v>102</v>
      </c>
      <c r="D17" s="12" t="s">
        <v>103</v>
      </c>
      <c r="E17" s="13">
        <f>1104.67*2.4*1.2*0.805*3.99</f>
        <v>10218.657042720002</v>
      </c>
    </row>
    <row r="18" spans="1:5" ht="57.75" customHeight="1" x14ac:dyDescent="0.25">
      <c r="A18" s="10">
        <v>2</v>
      </c>
      <c r="B18" s="14" t="s">
        <v>17</v>
      </c>
      <c r="C18" s="12" t="s">
        <v>18</v>
      </c>
      <c r="D18" s="12" t="s">
        <v>44</v>
      </c>
      <c r="E18" s="13">
        <f>800*2*0.5*3.99</f>
        <v>3192</v>
      </c>
    </row>
    <row r="19" spans="1:5" ht="48" customHeight="1" x14ac:dyDescent="0.25">
      <c r="A19" s="10">
        <v>3</v>
      </c>
      <c r="B19" s="12" t="s">
        <v>20</v>
      </c>
      <c r="C19" s="15" t="s">
        <v>21</v>
      </c>
      <c r="D19" s="16">
        <f>(E17+E18)*0.1</f>
        <v>1341.0657042720004</v>
      </c>
      <c r="E19" s="17">
        <f>D19</f>
        <v>1341.0657042720004</v>
      </c>
    </row>
    <row r="20" spans="1:5" ht="48" customHeight="1" x14ac:dyDescent="0.25">
      <c r="A20" s="10">
        <v>4</v>
      </c>
      <c r="B20" s="12" t="s">
        <v>22</v>
      </c>
      <c r="C20" s="12" t="s">
        <v>89</v>
      </c>
      <c r="D20" s="16"/>
      <c r="E20" s="17">
        <v>3000</v>
      </c>
    </row>
    <row r="21" spans="1:5" x14ac:dyDescent="0.25">
      <c r="A21" s="18"/>
      <c r="B21" s="19" t="s">
        <v>24</v>
      </c>
      <c r="C21" s="15"/>
      <c r="D21" s="15"/>
      <c r="E21" s="17">
        <f>E20+E19+E18+E17</f>
        <v>17751.722746992004</v>
      </c>
    </row>
    <row r="22" spans="1:5" x14ac:dyDescent="0.25">
      <c r="A22" s="18"/>
      <c r="B22" s="19" t="s">
        <v>25</v>
      </c>
      <c r="C22" s="15"/>
      <c r="D22" s="15"/>
      <c r="E22" s="17">
        <f>ROUND(E21*18%,2)</f>
        <v>3195.31</v>
      </c>
    </row>
    <row r="23" spans="1:5" x14ac:dyDescent="0.25">
      <c r="A23" s="18"/>
      <c r="B23" s="19" t="s">
        <v>26</v>
      </c>
      <c r="C23" s="15"/>
      <c r="D23" s="15"/>
      <c r="E23" s="17">
        <f>E21+E22</f>
        <v>20947.032746992005</v>
      </c>
    </row>
    <row r="24" spans="1:5" x14ac:dyDescent="0.25">
      <c r="A24" s="20"/>
      <c r="B24" s="21"/>
      <c r="C24" s="22"/>
      <c r="D24" s="22"/>
      <c r="E24" s="23"/>
    </row>
    <row r="25" spans="1:5" x14ac:dyDescent="0.25">
      <c r="A25" s="1" t="s">
        <v>2</v>
      </c>
    </row>
    <row r="26" spans="1:5" x14ac:dyDescent="0.25">
      <c r="A26" s="1" t="s">
        <v>27</v>
      </c>
    </row>
    <row r="27" spans="1:5" x14ac:dyDescent="0.25">
      <c r="A27" s="1" t="s">
        <v>31</v>
      </c>
    </row>
    <row r="28" spans="1:5" x14ac:dyDescent="0.25">
      <c r="A28" s="4" t="s">
        <v>28</v>
      </c>
    </row>
    <row r="29" spans="1:5" x14ac:dyDescent="0.25">
      <c r="A29" s="1" t="s">
        <v>29</v>
      </c>
    </row>
    <row r="33" spans="5:5" x14ac:dyDescent="0.25">
      <c r="E33" s="1" t="s">
        <v>30</v>
      </c>
    </row>
  </sheetData>
  <mergeCells count="4">
    <mergeCell ref="B1:D1"/>
    <mergeCell ref="A10:E10"/>
    <mergeCell ref="A13:E13"/>
    <mergeCell ref="A14:E14"/>
  </mergeCells>
  <pageMargins left="0.19685039370078741" right="0.19685039370078741" top="0.19685039370078741" bottom="0.19685039370078741" header="0.51181102362204722" footer="0.51181102362204722"/>
  <pageSetup paperSize="9" orientation="portrait"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4"/>
  <sheetViews>
    <sheetView topLeftCell="A13" zoomScaleNormal="100" workbookViewId="0">
      <selection activeCell="E17" sqref="E17"/>
    </sheetView>
  </sheetViews>
  <sheetFormatPr defaultRowHeight="15.75" x14ac:dyDescent="0.25"/>
  <cols>
    <col min="1" max="1" width="4.7109375" style="1" customWidth="1"/>
    <col min="2" max="2" width="26.140625" style="1" customWidth="1"/>
    <col min="3" max="3" width="33" style="1" customWidth="1"/>
    <col min="4" max="4" width="26.7109375" style="1" customWidth="1"/>
    <col min="5" max="5" width="11.85546875" style="1" customWidth="1"/>
    <col min="6" max="16384" width="9.140625" style="1"/>
  </cols>
  <sheetData>
    <row r="1" spans="1:5" x14ac:dyDescent="0.25">
      <c r="B1" s="188" t="s">
        <v>55</v>
      </c>
      <c r="C1" s="188"/>
      <c r="D1" s="188"/>
    </row>
    <row r="3" spans="1:5" x14ac:dyDescent="0.25">
      <c r="A3" s="1" t="s">
        <v>1</v>
      </c>
      <c r="D3" s="2" t="s">
        <v>2</v>
      </c>
      <c r="E3" s="3"/>
    </row>
    <row r="4" spans="1:5" x14ac:dyDescent="0.25">
      <c r="A4" s="1" t="s">
        <v>3</v>
      </c>
      <c r="D4" s="2" t="s">
        <v>4</v>
      </c>
      <c r="E4" s="3"/>
    </row>
    <row r="5" spans="1:5" x14ac:dyDescent="0.25">
      <c r="A5" s="1" t="s">
        <v>5</v>
      </c>
      <c r="D5" s="2" t="s">
        <v>6</v>
      </c>
      <c r="E5" s="3"/>
    </row>
    <row r="6" spans="1:5" x14ac:dyDescent="0.25">
      <c r="D6" s="3"/>
      <c r="E6" s="3"/>
    </row>
    <row r="7" spans="1:5" x14ac:dyDescent="0.25">
      <c r="A7" s="4" t="s">
        <v>54</v>
      </c>
      <c r="D7" s="2" t="s">
        <v>8</v>
      </c>
      <c r="E7" s="3"/>
    </row>
    <row r="8" spans="1:5" x14ac:dyDescent="0.25">
      <c r="A8" s="4" t="s">
        <v>45</v>
      </c>
      <c r="D8" s="2" t="str">
        <f>A8</f>
        <v>"___" ___________ 2018 г.</v>
      </c>
      <c r="E8" s="3"/>
    </row>
    <row r="9" spans="1:5" x14ac:dyDescent="0.25">
      <c r="A9" s="4"/>
      <c r="D9" s="5"/>
      <c r="E9" s="6"/>
    </row>
    <row r="10" spans="1:5" ht="18" customHeight="1" x14ac:dyDescent="0.25">
      <c r="A10" s="189" t="s">
        <v>10</v>
      </c>
      <c r="B10" s="189"/>
      <c r="C10" s="189"/>
      <c r="D10" s="189"/>
      <c r="E10" s="189"/>
    </row>
    <row r="11" spans="1:5" x14ac:dyDescent="0.25">
      <c r="C11" s="7" t="s">
        <v>11</v>
      </c>
    </row>
    <row r="12" spans="1:5" x14ac:dyDescent="0.25">
      <c r="C12" s="7"/>
    </row>
    <row r="13" spans="1:5" ht="33" customHeight="1" x14ac:dyDescent="0.25">
      <c r="A13" s="190" t="s">
        <v>106</v>
      </c>
      <c r="B13" s="190"/>
      <c r="C13" s="190"/>
      <c r="D13" s="190"/>
      <c r="E13" s="190"/>
    </row>
    <row r="14" spans="1:5" ht="0.75" customHeight="1" x14ac:dyDescent="0.25">
      <c r="A14" s="190"/>
      <c r="B14" s="190"/>
      <c r="C14" s="190"/>
      <c r="D14" s="190"/>
      <c r="E14" s="190"/>
    </row>
    <row r="15" spans="1:5" x14ac:dyDescent="0.25">
      <c r="A15" s="8"/>
      <c r="B15" s="8"/>
      <c r="C15" s="8"/>
      <c r="D15" s="8"/>
      <c r="E15" s="8"/>
    </row>
    <row r="16" spans="1:5" ht="95.25" customHeight="1" x14ac:dyDescent="0.25">
      <c r="A16" s="9" t="s">
        <v>12</v>
      </c>
      <c r="B16" s="9" t="s">
        <v>13</v>
      </c>
      <c r="C16" s="9" t="s">
        <v>14</v>
      </c>
      <c r="D16" s="9" t="s">
        <v>15</v>
      </c>
      <c r="E16" s="9" t="s">
        <v>16</v>
      </c>
    </row>
    <row r="17" spans="1:5" ht="123.75" customHeight="1" x14ac:dyDescent="0.25">
      <c r="A17" s="10">
        <v>1</v>
      </c>
      <c r="B17" s="11" t="s">
        <v>107</v>
      </c>
      <c r="C17" s="11" t="s">
        <v>108</v>
      </c>
      <c r="D17" s="12" t="s">
        <v>109</v>
      </c>
      <c r="E17" s="13">
        <f>1916.99*2.4*1.2*0.805*3.99</f>
        <v>17732.954967840004</v>
      </c>
    </row>
    <row r="18" spans="1:5" ht="57.75" customHeight="1" x14ac:dyDescent="0.25">
      <c r="A18" s="10">
        <v>2</v>
      </c>
      <c r="B18" s="14" t="s">
        <v>17</v>
      </c>
      <c r="C18" s="12" t="s">
        <v>18</v>
      </c>
      <c r="D18" s="12" t="s">
        <v>19</v>
      </c>
      <c r="E18" s="13">
        <f>800*1*0.5*3.99</f>
        <v>1596</v>
      </c>
    </row>
    <row r="19" spans="1:5" ht="48" customHeight="1" x14ac:dyDescent="0.25">
      <c r="A19" s="10">
        <v>3</v>
      </c>
      <c r="B19" s="12" t="s">
        <v>20</v>
      </c>
      <c r="C19" s="15" t="s">
        <v>21</v>
      </c>
      <c r="D19" s="16">
        <f>(E17+E18)*0.1</f>
        <v>1932.8954967840004</v>
      </c>
      <c r="E19" s="17">
        <f>D19</f>
        <v>1932.8954967840004</v>
      </c>
    </row>
    <row r="20" spans="1:5" ht="48" customHeight="1" x14ac:dyDescent="0.25">
      <c r="A20" s="10">
        <v>4</v>
      </c>
      <c r="B20" s="12" t="s">
        <v>22</v>
      </c>
      <c r="C20" s="12" t="s">
        <v>89</v>
      </c>
      <c r="D20" s="16"/>
      <c r="E20" s="17">
        <v>6779.66</v>
      </c>
    </row>
    <row r="21" spans="1:5" ht="48" customHeight="1" x14ac:dyDescent="0.25">
      <c r="A21" s="10">
        <v>5</v>
      </c>
      <c r="B21" s="12" t="s">
        <v>23</v>
      </c>
      <c r="C21" s="15"/>
      <c r="D21" s="16"/>
      <c r="E21" s="17">
        <v>49185</v>
      </c>
    </row>
    <row r="22" spans="1:5" x14ac:dyDescent="0.25">
      <c r="A22" s="18"/>
      <c r="B22" s="19" t="s">
        <v>24</v>
      </c>
      <c r="C22" s="15"/>
      <c r="D22" s="15"/>
      <c r="E22" s="17">
        <f>E20+E19+E18+E17+E21</f>
        <v>77226.510464624007</v>
      </c>
    </row>
    <row r="23" spans="1:5" x14ac:dyDescent="0.25">
      <c r="A23" s="18"/>
      <c r="B23" s="19" t="s">
        <v>25</v>
      </c>
      <c r="C23" s="15"/>
      <c r="D23" s="15"/>
      <c r="E23" s="17">
        <f>ROUND(E22*18%,2)</f>
        <v>13900.77</v>
      </c>
    </row>
    <row r="24" spans="1:5" x14ac:dyDescent="0.25">
      <c r="A24" s="18"/>
      <c r="B24" s="19" t="s">
        <v>26</v>
      </c>
      <c r="C24" s="15"/>
      <c r="D24" s="15"/>
      <c r="E24" s="17">
        <f>E22+E23</f>
        <v>91127.280464624011</v>
      </c>
    </row>
    <row r="25" spans="1:5" x14ac:dyDescent="0.25">
      <c r="A25" s="20"/>
      <c r="B25" s="21"/>
      <c r="C25" s="22"/>
      <c r="D25" s="22"/>
      <c r="E25" s="23"/>
    </row>
    <row r="26" spans="1:5" x14ac:dyDescent="0.25">
      <c r="A26" s="1" t="s">
        <v>2</v>
      </c>
    </row>
    <row r="27" spans="1:5" x14ac:dyDescent="0.25">
      <c r="A27" s="1" t="s">
        <v>27</v>
      </c>
    </row>
    <row r="28" spans="1:5" x14ac:dyDescent="0.25">
      <c r="A28" s="1" t="s">
        <v>31</v>
      </c>
    </row>
    <row r="29" spans="1:5" x14ac:dyDescent="0.25">
      <c r="A29" s="4" t="s">
        <v>28</v>
      </c>
    </row>
    <row r="30" spans="1:5" x14ac:dyDescent="0.25">
      <c r="A30" s="1" t="s">
        <v>29</v>
      </c>
    </row>
    <row r="34" spans="5:5" x14ac:dyDescent="0.25">
      <c r="E34" s="1" t="s">
        <v>30</v>
      </c>
    </row>
  </sheetData>
  <mergeCells count="4">
    <mergeCell ref="B1:D1"/>
    <mergeCell ref="A10:E10"/>
    <mergeCell ref="A13:E13"/>
    <mergeCell ref="A14:E14"/>
  </mergeCells>
  <pageMargins left="0.19685039370078741" right="0.19685039370078741" top="0.19685039370078741" bottom="0.19685039370078741" header="0.51181102362204722" footer="0.51181102362204722"/>
  <pageSetup paperSize="9" orientation="portrait"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4"/>
  <sheetViews>
    <sheetView topLeftCell="A13" zoomScaleNormal="100" workbookViewId="0">
      <selection activeCell="D19" sqref="D19"/>
    </sheetView>
  </sheetViews>
  <sheetFormatPr defaultRowHeight="15.75" x14ac:dyDescent="0.25"/>
  <cols>
    <col min="1" max="1" width="4.7109375" style="1" customWidth="1"/>
    <col min="2" max="2" width="26.140625" style="1" customWidth="1"/>
    <col min="3" max="3" width="33" style="1" customWidth="1"/>
    <col min="4" max="4" width="26.7109375" style="1" customWidth="1"/>
    <col min="5" max="5" width="11.85546875" style="1" customWidth="1"/>
    <col min="6" max="16384" width="9.140625" style="1"/>
  </cols>
  <sheetData>
    <row r="1" spans="1:5" x14ac:dyDescent="0.25">
      <c r="B1" s="188" t="s">
        <v>55</v>
      </c>
      <c r="C1" s="188"/>
      <c r="D1" s="188"/>
    </row>
    <row r="3" spans="1:5" x14ac:dyDescent="0.25">
      <c r="A3" s="1" t="s">
        <v>1</v>
      </c>
      <c r="D3" s="2" t="s">
        <v>2</v>
      </c>
      <c r="E3" s="3"/>
    </row>
    <row r="4" spans="1:5" x14ac:dyDescent="0.25">
      <c r="A4" s="1" t="s">
        <v>111</v>
      </c>
      <c r="D4" s="2" t="s">
        <v>4</v>
      </c>
      <c r="E4" s="3"/>
    </row>
    <row r="5" spans="1:5" x14ac:dyDescent="0.25">
      <c r="A5" s="1" t="s">
        <v>112</v>
      </c>
      <c r="D5" s="2" t="s">
        <v>6</v>
      </c>
      <c r="E5" s="3"/>
    </row>
    <row r="6" spans="1:5" x14ac:dyDescent="0.25">
      <c r="D6" s="3"/>
      <c r="E6" s="3"/>
    </row>
    <row r="7" spans="1:5" x14ac:dyDescent="0.25">
      <c r="A7" s="4" t="s">
        <v>110</v>
      </c>
      <c r="D7" s="2" t="s">
        <v>8</v>
      </c>
      <c r="E7" s="3"/>
    </row>
    <row r="8" spans="1:5" x14ac:dyDescent="0.25">
      <c r="A8" s="4" t="s">
        <v>45</v>
      </c>
      <c r="D8" s="2" t="str">
        <f>A8</f>
        <v>"___" ___________ 2018 г.</v>
      </c>
      <c r="E8" s="3"/>
    </row>
    <row r="9" spans="1:5" x14ac:dyDescent="0.25">
      <c r="A9" s="4"/>
      <c r="D9" s="5"/>
      <c r="E9" s="6"/>
    </row>
    <row r="10" spans="1:5" ht="18" customHeight="1" x14ac:dyDescent="0.25">
      <c r="A10" s="189" t="s">
        <v>10</v>
      </c>
      <c r="B10" s="189"/>
      <c r="C10" s="189"/>
      <c r="D10" s="189"/>
      <c r="E10" s="189"/>
    </row>
    <row r="11" spans="1:5" x14ac:dyDescent="0.25">
      <c r="C11" s="7" t="s">
        <v>11</v>
      </c>
    </row>
    <row r="12" spans="1:5" x14ac:dyDescent="0.25">
      <c r="C12" s="7"/>
    </row>
    <row r="13" spans="1:5" ht="16.5" customHeight="1" x14ac:dyDescent="0.25">
      <c r="A13" s="190" t="s">
        <v>113</v>
      </c>
      <c r="B13" s="190"/>
      <c r="C13" s="190"/>
      <c r="D13" s="190"/>
      <c r="E13" s="190"/>
    </row>
    <row r="14" spans="1:5" ht="0.75" customHeight="1" x14ac:dyDescent="0.25">
      <c r="A14" s="190"/>
      <c r="B14" s="190"/>
      <c r="C14" s="190"/>
      <c r="D14" s="190"/>
      <c r="E14" s="190"/>
    </row>
    <row r="15" spans="1:5" x14ac:dyDescent="0.25">
      <c r="A15" s="8"/>
      <c r="B15" s="8"/>
      <c r="C15" s="8"/>
      <c r="D15" s="8"/>
      <c r="E15" s="8"/>
    </row>
    <row r="16" spans="1:5" ht="95.25" customHeight="1" x14ac:dyDescent="0.25">
      <c r="A16" s="9" t="s">
        <v>12</v>
      </c>
      <c r="B16" s="9" t="s">
        <v>13</v>
      </c>
      <c r="C16" s="9" t="s">
        <v>14</v>
      </c>
      <c r="D16" s="9" t="s">
        <v>15</v>
      </c>
      <c r="E16" s="9" t="s">
        <v>16</v>
      </c>
    </row>
    <row r="17" spans="1:5" ht="123.75" customHeight="1" x14ac:dyDescent="0.25">
      <c r="A17" s="10">
        <v>1</v>
      </c>
      <c r="B17" s="11" t="s">
        <v>114</v>
      </c>
      <c r="C17" s="11" t="s">
        <v>115</v>
      </c>
      <c r="D17" s="12" t="s">
        <v>116</v>
      </c>
      <c r="E17" s="13">
        <f>3104.61*2.4*1.2*0.805*3.99</f>
        <v>28718.934017760002</v>
      </c>
    </row>
    <row r="18" spans="1:5" ht="57.75" customHeight="1" x14ac:dyDescent="0.25">
      <c r="A18" s="10">
        <v>2</v>
      </c>
      <c r="B18" s="14" t="s">
        <v>17</v>
      </c>
      <c r="C18" s="12" t="s">
        <v>18</v>
      </c>
      <c r="D18" s="12" t="s">
        <v>19</v>
      </c>
      <c r="E18" s="13">
        <f>800*1*0.5*3.99</f>
        <v>1596</v>
      </c>
    </row>
    <row r="19" spans="1:5" ht="48" customHeight="1" x14ac:dyDescent="0.25">
      <c r="A19" s="10">
        <v>3</v>
      </c>
      <c r="B19" s="12" t="s">
        <v>20</v>
      </c>
      <c r="C19" s="15" t="s">
        <v>21</v>
      </c>
      <c r="D19" s="16">
        <f>(E17+E18)*0.1</f>
        <v>3031.4934017760006</v>
      </c>
      <c r="E19" s="17">
        <f>D19</f>
        <v>3031.4934017760006</v>
      </c>
    </row>
    <row r="20" spans="1:5" ht="48" customHeight="1" x14ac:dyDescent="0.25">
      <c r="A20" s="10">
        <v>4</v>
      </c>
      <c r="B20" s="12" t="s">
        <v>22</v>
      </c>
      <c r="C20" s="12" t="s">
        <v>89</v>
      </c>
      <c r="D20" s="16"/>
      <c r="E20" s="17">
        <v>12711.87</v>
      </c>
    </row>
    <row r="21" spans="1:5" ht="48" customHeight="1" x14ac:dyDescent="0.25">
      <c r="A21" s="10">
        <v>5</v>
      </c>
      <c r="B21" s="12" t="s">
        <v>23</v>
      </c>
      <c r="C21" s="15"/>
      <c r="D21" s="16"/>
      <c r="E21" s="17">
        <v>29077.86</v>
      </c>
    </row>
    <row r="22" spans="1:5" x14ac:dyDescent="0.25">
      <c r="A22" s="18"/>
      <c r="B22" s="19" t="s">
        <v>24</v>
      </c>
      <c r="C22" s="15"/>
      <c r="D22" s="15"/>
      <c r="E22" s="17">
        <f>E20+E19+E18+E17+E21</f>
        <v>75136.157419536001</v>
      </c>
    </row>
    <row r="23" spans="1:5" x14ac:dyDescent="0.25">
      <c r="A23" s="18"/>
      <c r="B23" s="19" t="s">
        <v>25</v>
      </c>
      <c r="C23" s="15"/>
      <c r="D23" s="15"/>
      <c r="E23" s="17">
        <f>ROUND(E22*18%,2)</f>
        <v>13524.51</v>
      </c>
    </row>
    <row r="24" spans="1:5" x14ac:dyDescent="0.25">
      <c r="A24" s="18"/>
      <c r="B24" s="19" t="s">
        <v>26</v>
      </c>
      <c r="C24" s="15"/>
      <c r="D24" s="15"/>
      <c r="E24" s="17">
        <f>E22+E23</f>
        <v>88660.667419535996</v>
      </c>
    </row>
    <row r="25" spans="1:5" x14ac:dyDescent="0.25">
      <c r="A25" s="20"/>
      <c r="B25" s="21"/>
      <c r="C25" s="22"/>
      <c r="D25" s="22"/>
      <c r="E25" s="23"/>
    </row>
    <row r="26" spans="1:5" x14ac:dyDescent="0.25">
      <c r="A26" s="1" t="s">
        <v>2</v>
      </c>
    </row>
    <row r="27" spans="1:5" x14ac:dyDescent="0.25">
      <c r="A27" s="1" t="s">
        <v>27</v>
      </c>
    </row>
    <row r="28" spans="1:5" x14ac:dyDescent="0.25">
      <c r="A28" s="1" t="s">
        <v>31</v>
      </c>
    </row>
    <row r="29" spans="1:5" x14ac:dyDescent="0.25">
      <c r="A29" s="4" t="s">
        <v>28</v>
      </c>
    </row>
    <row r="30" spans="1:5" x14ac:dyDescent="0.25">
      <c r="A30" s="1" t="s">
        <v>29</v>
      </c>
    </row>
    <row r="34" spans="5:5" x14ac:dyDescent="0.25">
      <c r="E34" s="1" t="s">
        <v>30</v>
      </c>
    </row>
  </sheetData>
  <mergeCells count="4">
    <mergeCell ref="B1:D1"/>
    <mergeCell ref="A10:E10"/>
    <mergeCell ref="A13:E13"/>
    <mergeCell ref="A14:E14"/>
  </mergeCells>
  <pageMargins left="0.19685039370078741" right="0.19685039370078741" top="0.19685039370078741" bottom="0.19685039370078741" header="0.51181102362204722" footer="0.51181102362204722"/>
  <pageSetup paperSize="9" orientation="portrait"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3"/>
  <sheetViews>
    <sheetView topLeftCell="A16" zoomScaleNormal="100" workbookViewId="0">
      <selection activeCell="B11" sqref="B11"/>
    </sheetView>
  </sheetViews>
  <sheetFormatPr defaultRowHeight="15.75" x14ac:dyDescent="0.25"/>
  <cols>
    <col min="1" max="1" width="4.7109375" style="1" customWidth="1"/>
    <col min="2" max="2" width="26.140625" style="1" customWidth="1"/>
    <col min="3" max="3" width="33" style="1" customWidth="1"/>
    <col min="4" max="4" width="26.7109375" style="1" customWidth="1"/>
    <col min="5" max="5" width="11.85546875" style="1" customWidth="1"/>
    <col min="6" max="16384" width="9.140625" style="1"/>
  </cols>
  <sheetData>
    <row r="1" spans="1:5" x14ac:dyDescent="0.25">
      <c r="B1" s="188" t="s">
        <v>55</v>
      </c>
      <c r="C1" s="188"/>
      <c r="D1" s="188"/>
    </row>
    <row r="3" spans="1:5" x14ac:dyDescent="0.25">
      <c r="A3" s="1" t="s">
        <v>1</v>
      </c>
      <c r="D3" s="2" t="s">
        <v>2</v>
      </c>
      <c r="E3" s="3"/>
    </row>
    <row r="4" spans="1:5" x14ac:dyDescent="0.25">
      <c r="A4" s="1" t="s">
        <v>3</v>
      </c>
      <c r="D4" s="2" t="s">
        <v>4</v>
      </c>
      <c r="E4" s="3"/>
    </row>
    <row r="5" spans="1:5" x14ac:dyDescent="0.25">
      <c r="A5" s="1" t="s">
        <v>5</v>
      </c>
      <c r="D5" s="2" t="s">
        <v>6</v>
      </c>
      <c r="E5" s="3"/>
    </row>
    <row r="6" spans="1:5" x14ac:dyDescent="0.25">
      <c r="D6" s="3"/>
      <c r="E6" s="3"/>
    </row>
    <row r="7" spans="1:5" x14ac:dyDescent="0.25">
      <c r="A7" s="4" t="s">
        <v>54</v>
      </c>
      <c r="D7" s="2" t="s">
        <v>8</v>
      </c>
      <c r="E7" s="3"/>
    </row>
    <row r="8" spans="1:5" x14ac:dyDescent="0.25">
      <c r="A8" s="4" t="s">
        <v>45</v>
      </c>
      <c r="D8" s="2" t="str">
        <f>A8</f>
        <v>"___" ___________ 2018 г.</v>
      </c>
      <c r="E8" s="3"/>
    </row>
    <row r="9" spans="1:5" x14ac:dyDescent="0.25">
      <c r="A9" s="4"/>
      <c r="D9" s="5"/>
      <c r="E9" s="6"/>
    </row>
    <row r="10" spans="1:5" ht="18" customHeight="1" x14ac:dyDescent="0.25">
      <c r="A10" s="189" t="s">
        <v>10</v>
      </c>
      <c r="B10" s="189"/>
      <c r="C10" s="189"/>
      <c r="D10" s="189"/>
      <c r="E10" s="189"/>
    </row>
    <row r="11" spans="1:5" x14ac:dyDescent="0.25">
      <c r="C11" s="7" t="s">
        <v>11</v>
      </c>
    </row>
    <row r="12" spans="1:5" x14ac:dyDescent="0.25">
      <c r="C12" s="7"/>
    </row>
    <row r="13" spans="1:5" ht="35.25" customHeight="1" x14ac:dyDescent="0.25">
      <c r="A13" s="190" t="s">
        <v>117</v>
      </c>
      <c r="B13" s="190"/>
      <c r="C13" s="190"/>
      <c r="D13" s="190"/>
      <c r="E13" s="190"/>
    </row>
    <row r="14" spans="1:5" x14ac:dyDescent="0.25">
      <c r="A14" s="8"/>
      <c r="B14" s="8"/>
      <c r="C14" s="8"/>
      <c r="D14" s="8"/>
      <c r="E14" s="8"/>
    </row>
    <row r="15" spans="1:5" ht="95.25" customHeight="1" x14ac:dyDescent="0.25">
      <c r="A15" s="9" t="s">
        <v>12</v>
      </c>
      <c r="B15" s="9" t="s">
        <v>13</v>
      </c>
      <c r="C15" s="9" t="s">
        <v>14</v>
      </c>
      <c r="D15" s="9" t="s">
        <v>15</v>
      </c>
      <c r="E15" s="9" t="s">
        <v>16</v>
      </c>
    </row>
    <row r="16" spans="1:5" ht="123.75" customHeight="1" x14ac:dyDescent="0.25">
      <c r="A16" s="10">
        <v>1</v>
      </c>
      <c r="B16" s="11" t="s">
        <v>118</v>
      </c>
      <c r="C16" s="11" t="s">
        <v>119</v>
      </c>
      <c r="D16" s="12" t="s">
        <v>120</v>
      </c>
      <c r="E16" s="13">
        <f>1581.26*2.4*1.2*0.805*3.99</f>
        <v>14627.312804160003</v>
      </c>
    </row>
    <row r="17" spans="1:5" ht="57.75" customHeight="1" x14ac:dyDescent="0.25">
      <c r="A17" s="10">
        <v>2</v>
      </c>
      <c r="B17" s="14" t="s">
        <v>17</v>
      </c>
      <c r="C17" s="12" t="s">
        <v>18</v>
      </c>
      <c r="D17" s="12" t="s">
        <v>19</v>
      </c>
      <c r="E17" s="13">
        <f>800*1*0.5*3.99</f>
        <v>1596</v>
      </c>
    </row>
    <row r="18" spans="1:5" ht="48" customHeight="1" x14ac:dyDescent="0.25">
      <c r="A18" s="10">
        <v>3</v>
      </c>
      <c r="B18" s="12" t="s">
        <v>20</v>
      </c>
      <c r="C18" s="15" t="s">
        <v>21</v>
      </c>
      <c r="D18" s="16">
        <f>(E16+E17)*0.1</f>
        <v>1622.3312804160005</v>
      </c>
      <c r="E18" s="17">
        <f>D18</f>
        <v>1622.3312804160005</v>
      </c>
    </row>
    <row r="19" spans="1:5" ht="48" customHeight="1" x14ac:dyDescent="0.25">
      <c r="A19" s="10">
        <v>4</v>
      </c>
      <c r="B19" s="12" t="s">
        <v>22</v>
      </c>
      <c r="C19" s="12" t="s">
        <v>89</v>
      </c>
      <c r="D19" s="16"/>
      <c r="E19" s="17">
        <v>3364.05</v>
      </c>
    </row>
    <row r="20" spans="1:5" ht="48" customHeight="1" x14ac:dyDescent="0.25">
      <c r="A20" s="10">
        <v>5</v>
      </c>
      <c r="B20" s="12" t="s">
        <v>23</v>
      </c>
      <c r="C20" s="15"/>
      <c r="D20" s="16"/>
      <c r="E20" s="17">
        <v>27941</v>
      </c>
    </row>
    <row r="21" spans="1:5" x14ac:dyDescent="0.25">
      <c r="A21" s="18"/>
      <c r="B21" s="19" t="s">
        <v>24</v>
      </c>
      <c r="C21" s="15"/>
      <c r="D21" s="15"/>
      <c r="E21" s="17">
        <f>E19+E18+E17+E16+E20</f>
        <v>49150.694084576004</v>
      </c>
    </row>
    <row r="22" spans="1:5" x14ac:dyDescent="0.25">
      <c r="A22" s="18"/>
      <c r="B22" s="19" t="s">
        <v>25</v>
      </c>
      <c r="C22" s="15"/>
      <c r="D22" s="15"/>
      <c r="E22" s="17">
        <f>ROUND(E21*18%,2)</f>
        <v>8847.1200000000008</v>
      </c>
    </row>
    <row r="23" spans="1:5" x14ac:dyDescent="0.25">
      <c r="A23" s="18"/>
      <c r="B23" s="19" t="s">
        <v>26</v>
      </c>
      <c r="C23" s="15"/>
      <c r="D23" s="15"/>
      <c r="E23" s="17">
        <f>E21+E22</f>
        <v>57997.814084576006</v>
      </c>
    </row>
    <row r="24" spans="1:5" x14ac:dyDescent="0.25">
      <c r="A24" s="20"/>
      <c r="B24" s="21"/>
      <c r="C24" s="22"/>
      <c r="D24" s="22"/>
      <c r="E24" s="23"/>
    </row>
    <row r="25" spans="1:5" x14ac:dyDescent="0.25">
      <c r="A25" s="1" t="s">
        <v>2</v>
      </c>
    </row>
    <row r="26" spans="1:5" x14ac:dyDescent="0.25">
      <c r="A26" s="1" t="s">
        <v>27</v>
      </c>
    </row>
    <row r="27" spans="1:5" x14ac:dyDescent="0.25">
      <c r="A27" s="1" t="s">
        <v>31</v>
      </c>
    </row>
    <row r="28" spans="1:5" x14ac:dyDescent="0.25">
      <c r="A28" s="4" t="s">
        <v>28</v>
      </c>
    </row>
    <row r="29" spans="1:5" x14ac:dyDescent="0.25">
      <c r="A29" s="1" t="s">
        <v>29</v>
      </c>
    </row>
    <row r="33" spans="5:5" x14ac:dyDescent="0.25">
      <c r="E33" s="1" t="s">
        <v>30</v>
      </c>
    </row>
  </sheetData>
  <mergeCells count="3">
    <mergeCell ref="B1:D1"/>
    <mergeCell ref="A10:E10"/>
    <mergeCell ref="A13:E13"/>
  </mergeCells>
  <pageMargins left="0.19685039370078741" right="0.19685039370078741" top="0.19685039370078741" bottom="0.19685039370078741" header="0.51181102362204722" footer="0.51181102362204722"/>
  <pageSetup paperSize="9" orientation="portrait"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1"/>
  <sheetViews>
    <sheetView topLeftCell="A7" zoomScaleNormal="100" workbookViewId="0">
      <selection activeCell="C15" sqref="C15"/>
    </sheetView>
  </sheetViews>
  <sheetFormatPr defaultRowHeight="15.75" x14ac:dyDescent="0.25"/>
  <cols>
    <col min="1" max="1" width="4.7109375" style="1" customWidth="1"/>
    <col min="2" max="2" width="26.140625" style="1" customWidth="1"/>
    <col min="3" max="3" width="33" style="1" customWidth="1"/>
    <col min="4" max="4" width="26.7109375" style="1" customWidth="1"/>
    <col min="5" max="5" width="11.85546875" style="1" customWidth="1"/>
    <col min="6" max="16384" width="9.140625" style="1"/>
  </cols>
  <sheetData>
    <row r="1" spans="1:5" x14ac:dyDescent="0.25">
      <c r="B1" s="188" t="s">
        <v>55</v>
      </c>
      <c r="C1" s="188"/>
      <c r="D1" s="188"/>
    </row>
    <row r="3" spans="1:5" x14ac:dyDescent="0.25">
      <c r="A3" s="1" t="s">
        <v>1</v>
      </c>
      <c r="D3" s="2" t="s">
        <v>2</v>
      </c>
      <c r="E3" s="3"/>
    </row>
    <row r="4" spans="1:5" x14ac:dyDescent="0.25">
      <c r="A4" s="1" t="s">
        <v>3</v>
      </c>
      <c r="D4" s="2" t="s">
        <v>4</v>
      </c>
      <c r="E4" s="3"/>
    </row>
    <row r="5" spans="1:5" x14ac:dyDescent="0.25">
      <c r="A5" s="1" t="s">
        <v>5</v>
      </c>
      <c r="D5" s="2" t="s">
        <v>6</v>
      </c>
      <c r="E5" s="3"/>
    </row>
    <row r="6" spans="1:5" x14ac:dyDescent="0.25">
      <c r="D6" s="3"/>
      <c r="E6" s="3"/>
    </row>
    <row r="7" spans="1:5" x14ac:dyDescent="0.25">
      <c r="A7" s="4" t="s">
        <v>54</v>
      </c>
      <c r="D7" s="2" t="s">
        <v>8</v>
      </c>
      <c r="E7" s="3"/>
    </row>
    <row r="8" spans="1:5" x14ac:dyDescent="0.25">
      <c r="A8" s="4" t="s">
        <v>45</v>
      </c>
      <c r="D8" s="2" t="str">
        <f>A8</f>
        <v>"___" ___________ 2018 г.</v>
      </c>
      <c r="E8" s="3"/>
    </row>
    <row r="9" spans="1:5" x14ac:dyDescent="0.25">
      <c r="A9" s="4"/>
      <c r="D9" s="5"/>
      <c r="E9" s="6"/>
    </row>
    <row r="10" spans="1:5" ht="18" customHeight="1" x14ac:dyDescent="0.25">
      <c r="A10" s="189" t="s">
        <v>10</v>
      </c>
      <c r="B10" s="189"/>
      <c r="C10" s="189"/>
      <c r="D10" s="189"/>
      <c r="E10" s="189"/>
    </row>
    <row r="11" spans="1:5" x14ac:dyDescent="0.25">
      <c r="C11" s="7" t="s">
        <v>11</v>
      </c>
    </row>
    <row r="12" spans="1:5" x14ac:dyDescent="0.25">
      <c r="C12" s="7"/>
    </row>
    <row r="13" spans="1:5" ht="35.25" customHeight="1" x14ac:dyDescent="0.25">
      <c r="A13" s="190" t="s">
        <v>150</v>
      </c>
      <c r="B13" s="190"/>
      <c r="C13" s="190"/>
      <c r="D13" s="190"/>
      <c r="E13" s="190"/>
    </row>
    <row r="14" spans="1:5" x14ac:dyDescent="0.25">
      <c r="A14" s="8"/>
      <c r="B14" s="8"/>
      <c r="C14" s="8"/>
      <c r="D14" s="8"/>
      <c r="E14" s="8"/>
    </row>
    <row r="15" spans="1:5" ht="95.25" customHeight="1" x14ac:dyDescent="0.25">
      <c r="A15" s="9" t="s">
        <v>12</v>
      </c>
      <c r="B15" s="9" t="s">
        <v>13</v>
      </c>
      <c r="C15" s="9" t="s">
        <v>14</v>
      </c>
      <c r="D15" s="9" t="s">
        <v>15</v>
      </c>
      <c r="E15" s="9" t="s">
        <v>16</v>
      </c>
    </row>
    <row r="16" spans="1:5" ht="123.75" customHeight="1" x14ac:dyDescent="0.25">
      <c r="A16" s="10">
        <v>1</v>
      </c>
      <c r="B16" s="11" t="s">
        <v>121</v>
      </c>
      <c r="C16" s="11" t="s">
        <v>143</v>
      </c>
      <c r="D16" s="12" t="s">
        <v>144</v>
      </c>
      <c r="E16" s="13">
        <f>1965.7*2.4*1.2*0.805*3.83</f>
        <v>17454.378110400005</v>
      </c>
    </row>
    <row r="17" spans="1:5" ht="57.75" customHeight="1" x14ac:dyDescent="0.25">
      <c r="A17" s="10">
        <v>2</v>
      </c>
      <c r="B17" s="14" t="s">
        <v>17</v>
      </c>
      <c r="C17" s="12" t="s">
        <v>18</v>
      </c>
      <c r="D17" s="12" t="s">
        <v>145</v>
      </c>
      <c r="E17" s="13">
        <f>800*1*0.5*3.83</f>
        <v>1532</v>
      </c>
    </row>
    <row r="18" spans="1:5" ht="48" customHeight="1" x14ac:dyDescent="0.25">
      <c r="A18" s="10">
        <v>3</v>
      </c>
      <c r="B18" s="12" t="s">
        <v>20</v>
      </c>
      <c r="C18" s="15" t="s">
        <v>21</v>
      </c>
      <c r="D18" s="16">
        <f>(E16+E17)*0.1</f>
        <v>1898.6378110400005</v>
      </c>
      <c r="E18" s="17">
        <f>D18</f>
        <v>1898.6378110400005</v>
      </c>
    </row>
    <row r="19" spans="1:5" x14ac:dyDescent="0.25">
      <c r="A19" s="18"/>
      <c r="B19" s="19" t="s">
        <v>24</v>
      </c>
      <c r="C19" s="15"/>
      <c r="D19" s="15"/>
      <c r="E19" s="17">
        <f>E18+E17+E16</f>
        <v>20885.015921440005</v>
      </c>
    </row>
    <row r="20" spans="1:5" x14ac:dyDescent="0.25">
      <c r="A20" s="18"/>
      <c r="B20" s="19" t="s">
        <v>25</v>
      </c>
      <c r="C20" s="15"/>
      <c r="D20" s="15"/>
      <c r="E20" s="17">
        <f>ROUND(E19*18%,2)</f>
        <v>3759.3</v>
      </c>
    </row>
    <row r="21" spans="1:5" x14ac:dyDescent="0.25">
      <c r="A21" s="18"/>
      <c r="B21" s="19" t="s">
        <v>26</v>
      </c>
      <c r="C21" s="15"/>
      <c r="D21" s="15"/>
      <c r="E21" s="17">
        <f>E19+E20</f>
        <v>24644.315921440004</v>
      </c>
    </row>
    <row r="22" spans="1:5" x14ac:dyDescent="0.25">
      <c r="A22" s="20"/>
      <c r="B22" s="21"/>
      <c r="C22" s="22"/>
      <c r="D22" s="22"/>
      <c r="E22" s="23"/>
    </row>
    <row r="23" spans="1:5" x14ac:dyDescent="0.25">
      <c r="A23" s="1" t="s">
        <v>2</v>
      </c>
    </row>
    <row r="24" spans="1:5" x14ac:dyDescent="0.25">
      <c r="A24" s="1" t="s">
        <v>27</v>
      </c>
    </row>
    <row r="25" spans="1:5" x14ac:dyDescent="0.25">
      <c r="A25" s="1" t="s">
        <v>31</v>
      </c>
    </row>
    <row r="26" spans="1:5" x14ac:dyDescent="0.25">
      <c r="A26" s="4" t="s">
        <v>28</v>
      </c>
    </row>
    <row r="27" spans="1:5" x14ac:dyDescent="0.25">
      <c r="A27" s="1" t="s">
        <v>29</v>
      </c>
    </row>
    <row r="31" spans="1:5" x14ac:dyDescent="0.25">
      <c r="E31" s="1" t="s">
        <v>30</v>
      </c>
    </row>
  </sheetData>
  <mergeCells count="3">
    <mergeCell ref="B1:D1"/>
    <mergeCell ref="A10:E10"/>
    <mergeCell ref="A13:E13"/>
  </mergeCells>
  <pageMargins left="0.19685039370078741" right="0.19685039370078741" top="0.19685039370078741" bottom="0.19685039370078741" header="0.51181102362204722" footer="0.51181102362204722"/>
  <pageSetup paperSize="9" orientation="portrait"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3"/>
  <sheetViews>
    <sheetView topLeftCell="A10" zoomScaleNormal="100" workbookViewId="0">
      <selection activeCell="D18" sqref="D18"/>
    </sheetView>
  </sheetViews>
  <sheetFormatPr defaultRowHeight="15.75" x14ac:dyDescent="0.25"/>
  <cols>
    <col min="1" max="1" width="4.7109375" style="1" customWidth="1"/>
    <col min="2" max="2" width="26.140625" style="1" customWidth="1"/>
    <col min="3" max="3" width="33" style="1" customWidth="1"/>
    <col min="4" max="4" width="26.7109375" style="1" customWidth="1"/>
    <col min="5" max="5" width="11.85546875" style="1" customWidth="1"/>
    <col min="6" max="16384" width="9.140625" style="1"/>
  </cols>
  <sheetData>
    <row r="1" spans="1:5" x14ac:dyDescent="0.25">
      <c r="B1" s="188" t="s">
        <v>55</v>
      </c>
      <c r="C1" s="188"/>
      <c r="D1" s="188"/>
    </row>
    <row r="3" spans="1:5" x14ac:dyDescent="0.25">
      <c r="A3" s="1" t="s">
        <v>1</v>
      </c>
      <c r="D3" s="2" t="s">
        <v>2</v>
      </c>
      <c r="E3" s="3"/>
    </row>
    <row r="4" spans="1:5" x14ac:dyDescent="0.25">
      <c r="A4" s="1" t="s">
        <v>3</v>
      </c>
      <c r="D4" s="2" t="s">
        <v>4</v>
      </c>
      <c r="E4" s="3"/>
    </row>
    <row r="5" spans="1:5" x14ac:dyDescent="0.25">
      <c r="A5" s="1" t="s">
        <v>5</v>
      </c>
      <c r="D5" s="2" t="s">
        <v>6</v>
      </c>
      <c r="E5" s="3"/>
    </row>
    <row r="6" spans="1:5" x14ac:dyDescent="0.25">
      <c r="D6" s="3"/>
      <c r="E6" s="3"/>
    </row>
    <row r="7" spans="1:5" x14ac:dyDescent="0.25">
      <c r="A7" s="4" t="s">
        <v>54</v>
      </c>
      <c r="D7" s="2" t="s">
        <v>8</v>
      </c>
      <c r="E7" s="3"/>
    </row>
    <row r="8" spans="1:5" x14ac:dyDescent="0.25">
      <c r="A8" s="4" t="s">
        <v>45</v>
      </c>
      <c r="D8" s="2" t="str">
        <f>A8</f>
        <v>"___" ___________ 2018 г.</v>
      </c>
      <c r="E8" s="3"/>
    </row>
    <row r="9" spans="1:5" x14ac:dyDescent="0.25">
      <c r="A9" s="4"/>
      <c r="D9" s="5"/>
      <c r="E9" s="6"/>
    </row>
    <row r="10" spans="1:5" ht="18" customHeight="1" x14ac:dyDescent="0.25">
      <c r="A10" s="189" t="s">
        <v>10</v>
      </c>
      <c r="B10" s="189"/>
      <c r="C10" s="189"/>
      <c r="D10" s="189"/>
      <c r="E10" s="189"/>
    </row>
    <row r="11" spans="1:5" x14ac:dyDescent="0.25">
      <c r="C11" s="7" t="s">
        <v>11</v>
      </c>
    </row>
    <row r="12" spans="1:5" x14ac:dyDescent="0.25">
      <c r="C12" s="7"/>
    </row>
    <row r="13" spans="1:5" ht="35.25" customHeight="1" x14ac:dyDescent="0.25">
      <c r="A13" s="190" t="s">
        <v>122</v>
      </c>
      <c r="B13" s="190"/>
      <c r="C13" s="190"/>
      <c r="D13" s="190"/>
      <c r="E13" s="190"/>
    </row>
    <row r="14" spans="1:5" x14ac:dyDescent="0.25">
      <c r="A14" s="8"/>
      <c r="B14" s="8"/>
      <c r="C14" s="8"/>
      <c r="D14" s="8"/>
      <c r="E14" s="8"/>
    </row>
    <row r="15" spans="1:5" ht="95.25" customHeight="1" x14ac:dyDescent="0.25">
      <c r="A15" s="9" t="s">
        <v>12</v>
      </c>
      <c r="B15" s="9" t="s">
        <v>13</v>
      </c>
      <c r="C15" s="9" t="s">
        <v>14</v>
      </c>
      <c r="D15" s="9" t="s">
        <v>15</v>
      </c>
      <c r="E15" s="9" t="s">
        <v>16</v>
      </c>
    </row>
    <row r="16" spans="1:5" ht="123.75" customHeight="1" x14ac:dyDescent="0.25">
      <c r="A16" s="10">
        <v>1</v>
      </c>
      <c r="B16" s="11" t="s">
        <v>123</v>
      </c>
      <c r="C16" s="11" t="s">
        <v>132</v>
      </c>
      <c r="D16" s="12" t="s">
        <v>133</v>
      </c>
      <c r="E16" s="13">
        <f>1002.16*2.4*1.2*0.805*3.83</f>
        <v>8898.6516595199992</v>
      </c>
    </row>
    <row r="17" spans="1:5" ht="57.75" customHeight="1" x14ac:dyDescent="0.25">
      <c r="A17" s="10">
        <v>2</v>
      </c>
      <c r="B17" s="14" t="s">
        <v>17</v>
      </c>
      <c r="C17" s="12" t="s">
        <v>18</v>
      </c>
      <c r="D17" s="12" t="s">
        <v>145</v>
      </c>
      <c r="E17" s="13">
        <f>800*1*0.5*3.83</f>
        <v>1532</v>
      </c>
    </row>
    <row r="18" spans="1:5" ht="48" customHeight="1" x14ac:dyDescent="0.25">
      <c r="A18" s="10">
        <v>3</v>
      </c>
      <c r="B18" s="12" t="s">
        <v>20</v>
      </c>
      <c r="C18" s="15" t="s">
        <v>21</v>
      </c>
      <c r="D18" s="16">
        <f>(E16+E17)*0.1</f>
        <v>1043.0651659519999</v>
      </c>
      <c r="E18" s="17">
        <f>D18</f>
        <v>1043.0651659519999</v>
      </c>
    </row>
    <row r="19" spans="1:5" ht="48" customHeight="1" x14ac:dyDescent="0.25">
      <c r="A19" s="10">
        <v>4</v>
      </c>
      <c r="B19" s="12" t="s">
        <v>22</v>
      </c>
      <c r="C19" s="12" t="s">
        <v>89</v>
      </c>
      <c r="D19" s="16"/>
      <c r="E19" s="17">
        <v>6779.66</v>
      </c>
    </row>
    <row r="20" spans="1:5" ht="48" customHeight="1" x14ac:dyDescent="0.25">
      <c r="A20" s="10">
        <v>5</v>
      </c>
      <c r="B20" s="12" t="s">
        <v>23</v>
      </c>
      <c r="C20" s="15"/>
      <c r="D20" s="16"/>
      <c r="E20" s="17">
        <v>21750.05</v>
      </c>
    </row>
    <row r="21" spans="1:5" x14ac:dyDescent="0.25">
      <c r="A21" s="18"/>
      <c r="B21" s="19" t="s">
        <v>24</v>
      </c>
      <c r="C21" s="15"/>
      <c r="D21" s="15"/>
      <c r="E21" s="17">
        <f>E19+E18+E17+E16+E20</f>
        <v>40003.426825471994</v>
      </c>
    </row>
    <row r="22" spans="1:5" x14ac:dyDescent="0.25">
      <c r="A22" s="18"/>
      <c r="B22" s="19" t="s">
        <v>25</v>
      </c>
      <c r="C22" s="15"/>
      <c r="D22" s="15"/>
      <c r="E22" s="17">
        <f>ROUND(E21*18%,2)</f>
        <v>7200.62</v>
      </c>
    </row>
    <row r="23" spans="1:5" x14ac:dyDescent="0.25">
      <c r="A23" s="18"/>
      <c r="B23" s="19" t="s">
        <v>26</v>
      </c>
      <c r="C23" s="15"/>
      <c r="D23" s="15"/>
      <c r="E23" s="17">
        <f>E21+E22</f>
        <v>47204.046825471996</v>
      </c>
    </row>
    <row r="24" spans="1:5" x14ac:dyDescent="0.25">
      <c r="A24" s="20"/>
      <c r="B24" s="21"/>
      <c r="C24" s="22"/>
      <c r="D24" s="22"/>
      <c r="E24" s="23"/>
    </row>
    <row r="25" spans="1:5" x14ac:dyDescent="0.25">
      <c r="A25" s="1" t="s">
        <v>2</v>
      </c>
    </row>
    <row r="26" spans="1:5" x14ac:dyDescent="0.25">
      <c r="A26" s="1" t="s">
        <v>27</v>
      </c>
    </row>
    <row r="27" spans="1:5" x14ac:dyDescent="0.25">
      <c r="A27" s="1" t="s">
        <v>31</v>
      </c>
    </row>
    <row r="28" spans="1:5" x14ac:dyDescent="0.25">
      <c r="A28" s="4" t="s">
        <v>28</v>
      </c>
    </row>
    <row r="29" spans="1:5" x14ac:dyDescent="0.25">
      <c r="A29" s="1" t="s">
        <v>29</v>
      </c>
    </row>
    <row r="33" spans="5:5" x14ac:dyDescent="0.25">
      <c r="E33" s="1" t="s">
        <v>30</v>
      </c>
    </row>
  </sheetData>
  <mergeCells count="3">
    <mergeCell ref="B1:D1"/>
    <mergeCell ref="A10:E10"/>
    <mergeCell ref="A13:E13"/>
  </mergeCells>
  <pageMargins left="0.19685039370078741" right="0.19685039370078741" top="0.19685039370078741" bottom="0.19685039370078741" header="0.51181102362204722" footer="0.51181102362204722"/>
  <pageSetup paperSize="9" orientation="portrait"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2"/>
  <sheetViews>
    <sheetView topLeftCell="A14" workbookViewId="0">
      <selection activeCell="B18" sqref="B18"/>
    </sheetView>
  </sheetViews>
  <sheetFormatPr defaultRowHeight="15.75" x14ac:dyDescent="0.25"/>
  <cols>
    <col min="1" max="1" width="5.140625" style="1" customWidth="1"/>
    <col min="2" max="2" width="20.140625" style="1" customWidth="1"/>
    <col min="3" max="3" width="31.42578125" style="1" customWidth="1"/>
    <col min="4" max="4" width="22.140625" style="1" customWidth="1"/>
    <col min="5" max="5" width="12.85546875" style="1" customWidth="1"/>
    <col min="6" max="6" width="8.42578125" style="1" customWidth="1"/>
    <col min="7" max="16384" width="9.140625" style="1"/>
  </cols>
  <sheetData>
    <row r="1" spans="1:5" x14ac:dyDescent="0.25">
      <c r="B1" s="188" t="s">
        <v>124</v>
      </c>
      <c r="C1" s="188"/>
      <c r="D1" s="188"/>
      <c r="E1" s="188"/>
    </row>
    <row r="3" spans="1:5" x14ac:dyDescent="0.25">
      <c r="A3" s="1" t="s">
        <v>1</v>
      </c>
      <c r="D3" s="2" t="s">
        <v>2</v>
      </c>
      <c r="E3" s="3"/>
    </row>
    <row r="4" spans="1:5" x14ac:dyDescent="0.25">
      <c r="A4" s="1" t="s">
        <v>3</v>
      </c>
      <c r="D4" s="2" t="s">
        <v>4</v>
      </c>
      <c r="E4" s="3"/>
    </row>
    <row r="5" spans="1:5" x14ac:dyDescent="0.25">
      <c r="A5" s="1" t="s">
        <v>5</v>
      </c>
      <c r="D5" s="2" t="s">
        <v>6</v>
      </c>
      <c r="E5" s="3"/>
    </row>
    <row r="6" spans="1:5" x14ac:dyDescent="0.25">
      <c r="D6" s="3"/>
      <c r="E6" s="3"/>
    </row>
    <row r="7" spans="1:5" x14ac:dyDescent="0.25">
      <c r="A7" s="4" t="s">
        <v>125</v>
      </c>
      <c r="D7" s="2" t="s">
        <v>8</v>
      </c>
      <c r="E7" s="3"/>
    </row>
    <row r="8" spans="1:5" x14ac:dyDescent="0.25">
      <c r="A8" s="4" t="s">
        <v>126</v>
      </c>
      <c r="D8" s="2" t="str">
        <f>A8</f>
        <v>"___" ___________ 2018  г.</v>
      </c>
      <c r="E8" s="3"/>
    </row>
    <row r="9" spans="1:5" x14ac:dyDescent="0.25">
      <c r="A9" s="4"/>
      <c r="D9" s="5"/>
      <c r="E9" s="6"/>
    </row>
    <row r="10" spans="1:5" ht="18" customHeight="1" x14ac:dyDescent="0.25">
      <c r="A10" s="189" t="s">
        <v>10</v>
      </c>
      <c r="B10" s="189"/>
      <c r="C10" s="189"/>
      <c r="D10" s="189"/>
      <c r="E10" s="189"/>
    </row>
    <row r="11" spans="1:5" ht="12.75" customHeight="1" x14ac:dyDescent="0.25">
      <c r="A11" s="30"/>
      <c r="B11" s="30"/>
      <c r="C11" s="30" t="s">
        <v>11</v>
      </c>
      <c r="D11" s="30"/>
      <c r="E11" s="30"/>
    </row>
    <row r="12" spans="1:5" ht="33" customHeight="1" x14ac:dyDescent="0.25">
      <c r="A12" s="189" t="s">
        <v>131</v>
      </c>
      <c r="B12" s="189"/>
      <c r="C12" s="189"/>
      <c r="D12" s="189"/>
      <c r="E12" s="189"/>
    </row>
    <row r="13" spans="1:5" ht="49.5" hidden="1" customHeight="1" x14ac:dyDescent="0.25">
      <c r="A13" s="190"/>
      <c r="B13" s="190"/>
      <c r="C13" s="190"/>
      <c r="D13" s="190"/>
      <c r="E13" s="190"/>
    </row>
    <row r="14" spans="1:5" ht="18.75" customHeight="1" x14ac:dyDescent="0.25">
      <c r="A14" s="31"/>
      <c r="B14" s="31"/>
      <c r="C14" s="31"/>
      <c r="D14" s="31"/>
      <c r="E14" s="31"/>
    </row>
    <row r="15" spans="1:5" ht="12.75" customHeight="1" x14ac:dyDescent="0.25">
      <c r="A15" s="191" t="s">
        <v>12</v>
      </c>
      <c r="B15" s="193" t="s">
        <v>13</v>
      </c>
      <c r="C15" s="193" t="s">
        <v>14</v>
      </c>
      <c r="D15" s="193" t="s">
        <v>15</v>
      </c>
      <c r="E15" s="197" t="s">
        <v>16</v>
      </c>
    </row>
    <row r="16" spans="1:5" ht="51" customHeight="1" x14ac:dyDescent="0.25">
      <c r="A16" s="192"/>
      <c r="B16" s="194"/>
      <c r="C16" s="195"/>
      <c r="D16" s="196"/>
      <c r="E16" s="198"/>
    </row>
    <row r="17" spans="1:5" ht="126" customHeight="1" x14ac:dyDescent="0.25">
      <c r="A17" s="33">
        <v>1</v>
      </c>
      <c r="B17" s="11" t="s">
        <v>134</v>
      </c>
      <c r="C17" s="11" t="s">
        <v>135</v>
      </c>
      <c r="D17" s="12" t="s">
        <v>136</v>
      </c>
      <c r="E17" s="13">
        <f>237.28*2.4*1.2*0.805*3.83</f>
        <v>2106.9211161600001</v>
      </c>
    </row>
    <row r="18" spans="1:5" ht="181.5" customHeight="1" x14ac:dyDescent="0.25">
      <c r="A18" s="33">
        <v>2</v>
      </c>
      <c r="B18" s="12" t="s">
        <v>127</v>
      </c>
      <c r="C18" s="14" t="s">
        <v>139</v>
      </c>
      <c r="D18" s="14" t="s">
        <v>140</v>
      </c>
      <c r="E18" s="34">
        <f>(7763+42*(0.4*100+0.6*80))*3*0.4*3.83*1.4*(1+0.1)*0.555</f>
        <v>45013.257550800008</v>
      </c>
    </row>
    <row r="19" spans="1:5" ht="157.5" customHeight="1" x14ac:dyDescent="0.25">
      <c r="A19" s="33">
        <v>3</v>
      </c>
      <c r="B19" s="12" t="s">
        <v>127</v>
      </c>
      <c r="C19" s="14" t="s">
        <v>137</v>
      </c>
      <c r="D19" s="14" t="s">
        <v>141</v>
      </c>
      <c r="E19" s="34">
        <f>(7763+42*(0.4*100+0.6*80))*3*0.6*3.83*1.4*(1+0.1)*0.565</f>
        <v>68736.460854599994</v>
      </c>
    </row>
    <row r="20" spans="1:5" ht="67.5" customHeight="1" x14ac:dyDescent="0.25">
      <c r="A20" s="10">
        <v>4</v>
      </c>
      <c r="B20" s="35" t="s">
        <v>17</v>
      </c>
      <c r="C20" s="12" t="s">
        <v>128</v>
      </c>
      <c r="D20" s="12" t="s">
        <v>138</v>
      </c>
      <c r="E20" s="13">
        <f>800*5*0.5*3.83</f>
        <v>7660</v>
      </c>
    </row>
    <row r="21" spans="1:5" ht="33.75" customHeight="1" x14ac:dyDescent="0.25">
      <c r="A21" s="10">
        <v>5</v>
      </c>
      <c r="B21" s="24" t="s">
        <v>20</v>
      </c>
      <c r="C21" s="15" t="s">
        <v>142</v>
      </c>
      <c r="D21" s="16">
        <f>(E17+E18+E19+E20)*0.1</f>
        <v>12351.663952156001</v>
      </c>
      <c r="E21" s="17">
        <f>D21</f>
        <v>12351.663952156001</v>
      </c>
    </row>
    <row r="22" spans="1:5" ht="49.5" customHeight="1" x14ac:dyDescent="0.25">
      <c r="A22" s="10">
        <v>6</v>
      </c>
      <c r="B22" s="36" t="s">
        <v>22</v>
      </c>
      <c r="C22" s="12" t="s">
        <v>89</v>
      </c>
      <c r="D22" s="16"/>
      <c r="E22" s="17">
        <v>8474.58</v>
      </c>
    </row>
    <row r="23" spans="1:5" ht="48" customHeight="1" x14ac:dyDescent="0.25">
      <c r="A23" s="10">
        <v>7</v>
      </c>
      <c r="B23" s="36" t="s">
        <v>129</v>
      </c>
      <c r="C23" s="15"/>
      <c r="D23" s="16"/>
      <c r="E23" s="17">
        <v>36957</v>
      </c>
    </row>
    <row r="24" spans="1:5" ht="18" customHeight="1" x14ac:dyDescent="0.25">
      <c r="A24" s="18"/>
      <c r="B24" s="19" t="s">
        <v>24</v>
      </c>
      <c r="C24" s="15"/>
      <c r="D24" s="15"/>
      <c r="E24" s="17">
        <f>E17+E23+E22+E21+E20+E19+E18</f>
        <v>181299.88347371601</v>
      </c>
    </row>
    <row r="25" spans="1:5" x14ac:dyDescent="0.25">
      <c r="A25" s="18"/>
      <c r="B25" s="19" t="s">
        <v>25</v>
      </c>
      <c r="C25" s="15"/>
      <c r="D25" s="15"/>
      <c r="E25" s="17">
        <f>ROUND(E24*18%,2)</f>
        <v>32633.98</v>
      </c>
    </row>
    <row r="26" spans="1:5" x14ac:dyDescent="0.25">
      <c r="A26" s="18"/>
      <c r="B26" s="19" t="s">
        <v>26</v>
      </c>
      <c r="C26" s="15"/>
      <c r="D26" s="15"/>
      <c r="E26" s="17">
        <f>ROUND(E24+E25,2)</f>
        <v>213933.86</v>
      </c>
    </row>
    <row r="27" spans="1:5" x14ac:dyDescent="0.25">
      <c r="A27" s="20"/>
      <c r="B27" s="21"/>
      <c r="C27" s="22"/>
      <c r="D27" s="22"/>
      <c r="E27" s="23"/>
    </row>
    <row r="28" spans="1:5" x14ac:dyDescent="0.25">
      <c r="A28" s="1" t="s">
        <v>2</v>
      </c>
    </row>
    <row r="29" spans="1:5" x14ac:dyDescent="0.25">
      <c r="A29" s="1" t="s">
        <v>27</v>
      </c>
    </row>
    <row r="30" spans="1:5" x14ac:dyDescent="0.25">
      <c r="A30" s="1" t="s">
        <v>130</v>
      </c>
    </row>
    <row r="31" spans="1:5" x14ac:dyDescent="0.25">
      <c r="A31" s="4" t="s">
        <v>28</v>
      </c>
    </row>
    <row r="32" spans="1:5" x14ac:dyDescent="0.25">
      <c r="A32" s="1" t="s">
        <v>29</v>
      </c>
    </row>
  </sheetData>
  <mergeCells count="9">
    <mergeCell ref="B1:E1"/>
    <mergeCell ref="A10:E10"/>
    <mergeCell ref="A12:E12"/>
    <mergeCell ref="A13:E13"/>
    <mergeCell ref="A15:A16"/>
    <mergeCell ref="B15:B16"/>
    <mergeCell ref="C15:C16"/>
    <mergeCell ref="D15:D16"/>
    <mergeCell ref="E15:E16"/>
  </mergeCells>
  <pageMargins left="0.31496062992125984" right="0.31496062992125984" top="0.15748031496062992" bottom="1.1417322834645669" header="0.31496062992125984" footer="0.31496062992125984"/>
  <pageSetup paperSize="9"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2"/>
  <sheetViews>
    <sheetView topLeftCell="A7" zoomScaleNormal="100" workbookViewId="0">
      <selection activeCell="E16" sqref="E16"/>
    </sheetView>
  </sheetViews>
  <sheetFormatPr defaultRowHeight="15.75" x14ac:dyDescent="0.25"/>
  <cols>
    <col min="1" max="1" width="4.7109375" style="1" customWidth="1"/>
    <col min="2" max="2" width="26.140625" style="1" customWidth="1"/>
    <col min="3" max="3" width="33" style="1" customWidth="1"/>
    <col min="4" max="4" width="26.7109375" style="1" customWidth="1"/>
    <col min="5" max="5" width="11.85546875" style="1" customWidth="1"/>
    <col min="6" max="16384" width="9.140625" style="1"/>
  </cols>
  <sheetData>
    <row r="1" spans="1:5" x14ac:dyDescent="0.25">
      <c r="B1" s="188" t="s">
        <v>55</v>
      </c>
      <c r="C1" s="188"/>
      <c r="D1" s="188"/>
    </row>
    <row r="3" spans="1:5" x14ac:dyDescent="0.25">
      <c r="A3" s="1" t="s">
        <v>1</v>
      </c>
      <c r="D3" s="2" t="s">
        <v>2</v>
      </c>
      <c r="E3" s="3"/>
    </row>
    <row r="4" spans="1:5" x14ac:dyDescent="0.25">
      <c r="A4" s="1" t="s">
        <v>3</v>
      </c>
      <c r="D4" s="2" t="s">
        <v>4</v>
      </c>
      <c r="E4" s="3"/>
    </row>
    <row r="5" spans="1:5" x14ac:dyDescent="0.25">
      <c r="A5" s="1" t="s">
        <v>5</v>
      </c>
      <c r="D5" s="2" t="s">
        <v>6</v>
      </c>
      <c r="E5" s="3"/>
    </row>
    <row r="6" spans="1:5" x14ac:dyDescent="0.25">
      <c r="D6" s="3"/>
      <c r="E6" s="3"/>
    </row>
    <row r="7" spans="1:5" x14ac:dyDescent="0.25">
      <c r="A7" s="4" t="s">
        <v>54</v>
      </c>
      <c r="D7" s="2" t="s">
        <v>8</v>
      </c>
      <c r="E7" s="3"/>
    </row>
    <row r="8" spans="1:5" x14ac:dyDescent="0.25">
      <c r="A8" s="4" t="s">
        <v>45</v>
      </c>
      <c r="D8" s="2" t="str">
        <f>A8</f>
        <v>"___" ___________ 2018 г.</v>
      </c>
      <c r="E8" s="3"/>
    </row>
    <row r="9" spans="1:5" x14ac:dyDescent="0.25">
      <c r="A9" s="4"/>
      <c r="D9" s="5"/>
      <c r="E9" s="6"/>
    </row>
    <row r="10" spans="1:5" ht="18" customHeight="1" x14ac:dyDescent="0.25">
      <c r="A10" s="189" t="s">
        <v>10</v>
      </c>
      <c r="B10" s="189"/>
      <c r="C10" s="189"/>
      <c r="D10" s="189"/>
      <c r="E10" s="189"/>
    </row>
    <row r="11" spans="1:5" x14ac:dyDescent="0.25">
      <c r="C11" s="7" t="s">
        <v>11</v>
      </c>
    </row>
    <row r="12" spans="1:5" x14ac:dyDescent="0.25">
      <c r="C12" s="7"/>
    </row>
    <row r="13" spans="1:5" ht="35.25" customHeight="1" x14ac:dyDescent="0.25">
      <c r="A13" s="190" t="s">
        <v>146</v>
      </c>
      <c r="B13" s="190"/>
      <c r="C13" s="190"/>
      <c r="D13" s="190"/>
      <c r="E13" s="190"/>
    </row>
    <row r="14" spans="1:5" x14ac:dyDescent="0.25">
      <c r="A14" s="8"/>
      <c r="B14" s="8"/>
      <c r="C14" s="8"/>
      <c r="D14" s="8"/>
      <c r="E14" s="8"/>
    </row>
    <row r="15" spans="1:5" ht="95.25" customHeight="1" x14ac:dyDescent="0.25">
      <c r="A15" s="9" t="s">
        <v>12</v>
      </c>
      <c r="B15" s="9" t="s">
        <v>13</v>
      </c>
      <c r="C15" s="9" t="s">
        <v>14</v>
      </c>
      <c r="D15" s="9" t="s">
        <v>15</v>
      </c>
      <c r="E15" s="9" t="s">
        <v>16</v>
      </c>
    </row>
    <row r="16" spans="1:5" ht="123.75" customHeight="1" x14ac:dyDescent="0.25">
      <c r="A16" s="10">
        <v>1</v>
      </c>
      <c r="B16" s="11" t="s">
        <v>147</v>
      </c>
      <c r="C16" s="11" t="s">
        <v>148</v>
      </c>
      <c r="D16" s="12" t="s">
        <v>149</v>
      </c>
      <c r="E16" s="13">
        <f>1461.16*2.4*1.2*0.805*3.83</f>
        <v>12974.329307520002</v>
      </c>
    </row>
    <row r="17" spans="1:5" ht="57.75" customHeight="1" x14ac:dyDescent="0.25">
      <c r="A17" s="10">
        <v>2</v>
      </c>
      <c r="B17" s="32" t="s">
        <v>17</v>
      </c>
      <c r="C17" s="12" t="s">
        <v>18</v>
      </c>
      <c r="D17" s="12" t="s">
        <v>145</v>
      </c>
      <c r="E17" s="13">
        <f>800*1*0.5*3.83</f>
        <v>1532</v>
      </c>
    </row>
    <row r="18" spans="1:5" ht="48" customHeight="1" x14ac:dyDescent="0.25">
      <c r="A18" s="10">
        <v>3</v>
      </c>
      <c r="B18" s="12" t="s">
        <v>20</v>
      </c>
      <c r="C18" s="15" t="s">
        <v>21</v>
      </c>
      <c r="D18" s="16">
        <f>(E16+E17)*0.1</f>
        <v>1450.6329307520002</v>
      </c>
      <c r="E18" s="17">
        <f>D18</f>
        <v>1450.6329307520002</v>
      </c>
    </row>
    <row r="19" spans="1:5" ht="48" customHeight="1" x14ac:dyDescent="0.25">
      <c r="A19" s="10">
        <v>4</v>
      </c>
      <c r="B19" s="12" t="s">
        <v>22</v>
      </c>
      <c r="C19" s="12" t="s">
        <v>89</v>
      </c>
      <c r="D19" s="16"/>
      <c r="E19" s="17">
        <v>3389.83</v>
      </c>
    </row>
    <row r="20" spans="1:5" x14ac:dyDescent="0.25">
      <c r="A20" s="18"/>
      <c r="B20" s="19" t="s">
        <v>24</v>
      </c>
      <c r="C20" s="15"/>
      <c r="D20" s="15"/>
      <c r="E20" s="17">
        <f>E19+E18+E17+E16</f>
        <v>19346.792238272003</v>
      </c>
    </row>
    <row r="21" spans="1:5" x14ac:dyDescent="0.25">
      <c r="A21" s="18"/>
      <c r="B21" s="19" t="s">
        <v>25</v>
      </c>
      <c r="C21" s="15"/>
      <c r="D21" s="15"/>
      <c r="E21" s="17">
        <f>ROUND(E20*18%,2)</f>
        <v>3482.42</v>
      </c>
    </row>
    <row r="22" spans="1:5" x14ac:dyDescent="0.25">
      <c r="A22" s="18"/>
      <c r="B22" s="19" t="s">
        <v>26</v>
      </c>
      <c r="C22" s="15"/>
      <c r="D22" s="15"/>
      <c r="E22" s="17">
        <f>E20+E21</f>
        <v>22829.212238272004</v>
      </c>
    </row>
    <row r="23" spans="1:5" x14ac:dyDescent="0.25">
      <c r="A23" s="20"/>
      <c r="B23" s="21"/>
      <c r="C23" s="22"/>
      <c r="D23" s="22"/>
      <c r="E23" s="23"/>
    </row>
    <row r="24" spans="1:5" x14ac:dyDescent="0.25">
      <c r="A24" s="1" t="s">
        <v>2</v>
      </c>
    </row>
    <row r="25" spans="1:5" x14ac:dyDescent="0.25">
      <c r="A25" s="1" t="s">
        <v>27</v>
      </c>
    </row>
    <row r="26" spans="1:5" x14ac:dyDescent="0.25">
      <c r="A26" s="1" t="s">
        <v>31</v>
      </c>
    </row>
    <row r="27" spans="1:5" x14ac:dyDescent="0.25">
      <c r="A27" s="4" t="s">
        <v>28</v>
      </c>
    </row>
    <row r="28" spans="1:5" x14ac:dyDescent="0.25">
      <c r="A28" s="1" t="s">
        <v>29</v>
      </c>
    </row>
    <row r="32" spans="1:5" x14ac:dyDescent="0.25">
      <c r="E32" s="1" t="s">
        <v>30</v>
      </c>
    </row>
  </sheetData>
  <mergeCells count="3">
    <mergeCell ref="B1:D1"/>
    <mergeCell ref="A10:E10"/>
    <mergeCell ref="A13:E13"/>
  </mergeCells>
  <pageMargins left="0.19685039370078741" right="0.19685039370078741" top="0.19685039370078741" bottom="0.19685039370078741" header="0.51181102362204722" footer="0.51181102362204722"/>
  <pageSetup paperSize="9" orientation="portrait"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1"/>
  <sheetViews>
    <sheetView topLeftCell="A10" zoomScaleNormal="100" workbookViewId="0">
      <selection activeCell="E17" sqref="E17"/>
    </sheetView>
  </sheetViews>
  <sheetFormatPr defaultRowHeight="15.75" x14ac:dyDescent="0.25"/>
  <cols>
    <col min="1" max="1" width="4.7109375" style="1" customWidth="1"/>
    <col min="2" max="2" width="26.140625" style="1" customWidth="1"/>
    <col min="3" max="3" width="33" style="1" customWidth="1"/>
    <col min="4" max="4" width="26.7109375" style="1" customWidth="1"/>
    <col min="5" max="5" width="11.85546875" style="1" customWidth="1"/>
    <col min="6" max="16384" width="9.140625" style="1"/>
  </cols>
  <sheetData>
    <row r="1" spans="1:5" x14ac:dyDescent="0.25">
      <c r="B1" s="188" t="s">
        <v>55</v>
      </c>
      <c r="C1" s="188"/>
      <c r="D1" s="188"/>
    </row>
    <row r="3" spans="1:5" x14ac:dyDescent="0.25">
      <c r="A3" s="1" t="s">
        <v>1</v>
      </c>
      <c r="D3" s="2" t="s">
        <v>2</v>
      </c>
      <c r="E3" s="3"/>
    </row>
    <row r="4" spans="1:5" x14ac:dyDescent="0.25">
      <c r="A4" s="1" t="s">
        <v>3</v>
      </c>
      <c r="D4" s="2" t="s">
        <v>4</v>
      </c>
      <c r="E4" s="3"/>
    </row>
    <row r="5" spans="1:5" x14ac:dyDescent="0.25">
      <c r="A5" s="1" t="s">
        <v>5</v>
      </c>
      <c r="D5" s="2" t="s">
        <v>6</v>
      </c>
      <c r="E5" s="3"/>
    </row>
    <row r="6" spans="1:5" x14ac:dyDescent="0.25">
      <c r="D6" s="3"/>
      <c r="E6" s="3"/>
    </row>
    <row r="7" spans="1:5" x14ac:dyDescent="0.25">
      <c r="A7" s="4" t="s">
        <v>54</v>
      </c>
      <c r="D7" s="2" t="s">
        <v>8</v>
      </c>
      <c r="E7" s="3"/>
    </row>
    <row r="8" spans="1:5" x14ac:dyDescent="0.25">
      <c r="A8" s="4" t="s">
        <v>45</v>
      </c>
      <c r="D8" s="2" t="str">
        <f>A8</f>
        <v>"___" ___________ 2018 г.</v>
      </c>
      <c r="E8" s="3"/>
    </row>
    <row r="9" spans="1:5" x14ac:dyDescent="0.25">
      <c r="A9" s="4"/>
      <c r="D9" s="5"/>
      <c r="E9" s="6"/>
    </row>
    <row r="10" spans="1:5" ht="18" customHeight="1" x14ac:dyDescent="0.25">
      <c r="A10" s="189" t="s">
        <v>10</v>
      </c>
      <c r="B10" s="189"/>
      <c r="C10" s="189"/>
      <c r="D10" s="189"/>
      <c r="E10" s="189"/>
    </row>
    <row r="11" spans="1:5" x14ac:dyDescent="0.25">
      <c r="C11" s="7" t="s">
        <v>11</v>
      </c>
    </row>
    <row r="12" spans="1:5" x14ac:dyDescent="0.25">
      <c r="C12" s="7"/>
    </row>
    <row r="13" spans="1:5" ht="35.25" customHeight="1" x14ac:dyDescent="0.25">
      <c r="A13" s="190" t="s">
        <v>151</v>
      </c>
      <c r="B13" s="190"/>
      <c r="C13" s="190"/>
      <c r="D13" s="190"/>
      <c r="E13" s="190"/>
    </row>
    <row r="14" spans="1:5" x14ac:dyDescent="0.25">
      <c r="A14" s="8"/>
      <c r="B14" s="8"/>
      <c r="C14" s="8"/>
      <c r="D14" s="8"/>
      <c r="E14" s="8"/>
    </row>
    <row r="15" spans="1:5" ht="95.25" customHeight="1" x14ac:dyDescent="0.25">
      <c r="A15" s="9" t="s">
        <v>12</v>
      </c>
      <c r="B15" s="9" t="s">
        <v>13</v>
      </c>
      <c r="C15" s="9" t="s">
        <v>14</v>
      </c>
      <c r="D15" s="9" t="s">
        <v>15</v>
      </c>
      <c r="E15" s="9" t="s">
        <v>16</v>
      </c>
    </row>
    <row r="16" spans="1:5" ht="123.75" customHeight="1" x14ac:dyDescent="0.25">
      <c r="A16" s="10">
        <v>1</v>
      </c>
      <c r="B16" s="11" t="s">
        <v>152</v>
      </c>
      <c r="C16" s="11" t="s">
        <v>153</v>
      </c>
      <c r="D16" s="12" t="s">
        <v>154</v>
      </c>
      <c r="E16" s="13">
        <f>2144.36*2.4*1.2*0.805*3.83</f>
        <v>19040.784577920003</v>
      </c>
    </row>
    <row r="17" spans="1:5" ht="57.75" customHeight="1" x14ac:dyDescent="0.25">
      <c r="A17" s="10">
        <v>2</v>
      </c>
      <c r="B17" s="37" t="s">
        <v>17</v>
      </c>
      <c r="C17" s="12" t="s">
        <v>18</v>
      </c>
      <c r="D17" s="12" t="s">
        <v>145</v>
      </c>
      <c r="E17" s="13">
        <f>800*1*0.5*3.83</f>
        <v>1532</v>
      </c>
    </row>
    <row r="18" spans="1:5" ht="48" customHeight="1" x14ac:dyDescent="0.25">
      <c r="A18" s="10">
        <v>3</v>
      </c>
      <c r="B18" s="12" t="s">
        <v>20</v>
      </c>
      <c r="C18" s="15" t="s">
        <v>21</v>
      </c>
      <c r="D18" s="16">
        <f>(E16+E17)*0.1</f>
        <v>2057.2784577920006</v>
      </c>
      <c r="E18" s="17">
        <f>D18</f>
        <v>2057.2784577920006</v>
      </c>
    </row>
    <row r="19" spans="1:5" x14ac:dyDescent="0.25">
      <c r="A19" s="18"/>
      <c r="B19" s="19" t="s">
        <v>24</v>
      </c>
      <c r="C19" s="15"/>
      <c r="D19" s="15"/>
      <c r="E19" s="17">
        <f>E18+E17+E16</f>
        <v>22630.063035712003</v>
      </c>
    </row>
    <row r="20" spans="1:5" x14ac:dyDescent="0.25">
      <c r="A20" s="18"/>
      <c r="B20" s="19" t="s">
        <v>25</v>
      </c>
      <c r="C20" s="15"/>
      <c r="D20" s="15"/>
      <c r="E20" s="17">
        <f>ROUND(E19*18%,2)</f>
        <v>4073.41</v>
      </c>
    </row>
    <row r="21" spans="1:5" x14ac:dyDescent="0.25">
      <c r="A21" s="18"/>
      <c r="B21" s="19" t="s">
        <v>26</v>
      </c>
      <c r="C21" s="15"/>
      <c r="D21" s="15"/>
      <c r="E21" s="17">
        <f>E19+E20</f>
        <v>26703.473035712002</v>
      </c>
    </row>
    <row r="22" spans="1:5" x14ac:dyDescent="0.25">
      <c r="A22" s="20"/>
      <c r="B22" s="21"/>
      <c r="C22" s="22"/>
      <c r="D22" s="22"/>
      <c r="E22" s="23"/>
    </row>
    <row r="23" spans="1:5" x14ac:dyDescent="0.25">
      <c r="A23" s="1" t="s">
        <v>2</v>
      </c>
    </row>
    <row r="24" spans="1:5" x14ac:dyDescent="0.25">
      <c r="A24" s="1" t="s">
        <v>27</v>
      </c>
    </row>
    <row r="25" spans="1:5" x14ac:dyDescent="0.25">
      <c r="A25" s="1" t="s">
        <v>31</v>
      </c>
    </row>
    <row r="26" spans="1:5" x14ac:dyDescent="0.25">
      <c r="A26" s="4" t="s">
        <v>28</v>
      </c>
    </row>
    <row r="27" spans="1:5" x14ac:dyDescent="0.25">
      <c r="A27" s="1" t="s">
        <v>29</v>
      </c>
    </row>
    <row r="31" spans="1:5" x14ac:dyDescent="0.25">
      <c r="E31" s="1" t="s">
        <v>30</v>
      </c>
    </row>
  </sheetData>
  <mergeCells count="3">
    <mergeCell ref="B1:D1"/>
    <mergeCell ref="A10:E10"/>
    <mergeCell ref="A13:E13"/>
  </mergeCells>
  <pageMargins left="0.19685039370078741" right="0.19685039370078741" top="0.19685039370078741" bottom="0.19685039370078741" header="0.51181102362204722" footer="0.51181102362204722"/>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4"/>
  <sheetViews>
    <sheetView zoomScaleNormal="100" workbookViewId="0">
      <selection activeCell="E21" sqref="E21"/>
    </sheetView>
  </sheetViews>
  <sheetFormatPr defaultRowHeight="15.75" x14ac:dyDescent="0.25"/>
  <cols>
    <col min="1" max="1" width="4.7109375" style="1" customWidth="1"/>
    <col min="2" max="2" width="26.140625" style="1" customWidth="1"/>
    <col min="3" max="3" width="33" style="1" customWidth="1"/>
    <col min="4" max="4" width="26.7109375" style="1" customWidth="1"/>
    <col min="5" max="5" width="11.85546875" style="1" customWidth="1"/>
    <col min="6" max="16384" width="9.140625" style="1"/>
  </cols>
  <sheetData>
    <row r="1" spans="1:5" x14ac:dyDescent="0.25">
      <c r="B1" s="188" t="s">
        <v>0</v>
      </c>
      <c r="C1" s="188"/>
      <c r="D1" s="188"/>
    </row>
    <row r="3" spans="1:5" x14ac:dyDescent="0.25">
      <c r="A3" s="1" t="s">
        <v>1</v>
      </c>
      <c r="D3" s="2" t="s">
        <v>2</v>
      </c>
      <c r="E3" s="3"/>
    </row>
    <row r="4" spans="1:5" x14ac:dyDescent="0.25">
      <c r="A4" s="1" t="s">
        <v>3</v>
      </c>
      <c r="D4" s="2" t="s">
        <v>4</v>
      </c>
      <c r="E4" s="3"/>
    </row>
    <row r="5" spans="1:5" x14ac:dyDescent="0.25">
      <c r="A5" s="1" t="s">
        <v>5</v>
      </c>
      <c r="D5" s="2" t="s">
        <v>6</v>
      </c>
      <c r="E5" s="3"/>
    </row>
    <row r="6" spans="1:5" x14ac:dyDescent="0.25">
      <c r="D6" s="3"/>
      <c r="E6" s="3"/>
    </row>
    <row r="7" spans="1:5" x14ac:dyDescent="0.25">
      <c r="A7" s="4" t="s">
        <v>7</v>
      </c>
      <c r="D7" s="2" t="s">
        <v>8</v>
      </c>
      <c r="E7" s="3"/>
    </row>
    <row r="8" spans="1:5" x14ac:dyDescent="0.25">
      <c r="A8" s="4" t="s">
        <v>9</v>
      </c>
      <c r="D8" s="2" t="str">
        <f>A8</f>
        <v>"___" ___________ 2017 г.</v>
      </c>
      <c r="E8" s="3"/>
    </row>
    <row r="9" spans="1:5" x14ac:dyDescent="0.25">
      <c r="A9" s="4"/>
      <c r="D9" s="5"/>
      <c r="E9" s="6"/>
    </row>
    <row r="10" spans="1:5" ht="18" customHeight="1" x14ac:dyDescent="0.25">
      <c r="A10" s="189" t="s">
        <v>10</v>
      </c>
      <c r="B10" s="189"/>
      <c r="C10" s="189"/>
      <c r="D10" s="189"/>
      <c r="E10" s="189"/>
    </row>
    <row r="11" spans="1:5" x14ac:dyDescent="0.25">
      <c r="C11" s="7" t="s">
        <v>11</v>
      </c>
    </row>
    <row r="12" spans="1:5" x14ac:dyDescent="0.25">
      <c r="C12" s="7"/>
    </row>
    <row r="13" spans="1:5" ht="33" customHeight="1" x14ac:dyDescent="0.25">
      <c r="A13" s="190" t="s">
        <v>39</v>
      </c>
      <c r="B13" s="190"/>
      <c r="C13" s="190"/>
      <c r="D13" s="190"/>
      <c r="E13" s="190"/>
    </row>
    <row r="14" spans="1:5" ht="0.75" customHeight="1" x14ac:dyDescent="0.25">
      <c r="A14" s="190"/>
      <c r="B14" s="190"/>
      <c r="C14" s="190"/>
      <c r="D14" s="190"/>
      <c r="E14" s="190"/>
    </row>
    <row r="15" spans="1:5" x14ac:dyDescent="0.25">
      <c r="A15" s="8"/>
      <c r="B15" s="8"/>
      <c r="C15" s="8"/>
      <c r="D15" s="8"/>
      <c r="E15" s="8"/>
    </row>
    <row r="16" spans="1:5" ht="95.25" customHeight="1" x14ac:dyDescent="0.25">
      <c r="A16" s="9" t="s">
        <v>12</v>
      </c>
      <c r="B16" s="9" t="s">
        <v>13</v>
      </c>
      <c r="C16" s="9" t="s">
        <v>14</v>
      </c>
      <c r="D16" s="9" t="s">
        <v>15</v>
      </c>
      <c r="E16" s="9" t="s">
        <v>16</v>
      </c>
    </row>
    <row r="17" spans="1:5" ht="123.75" customHeight="1" x14ac:dyDescent="0.25">
      <c r="A17" s="10">
        <v>1</v>
      </c>
      <c r="B17" s="11" t="s">
        <v>38</v>
      </c>
      <c r="C17" s="11" t="s">
        <v>37</v>
      </c>
      <c r="D17" s="12" t="s">
        <v>36</v>
      </c>
      <c r="E17" s="13">
        <f>3128.66*2.4*1.2*0.805*3.99</f>
        <v>28941.406522559999</v>
      </c>
    </row>
    <row r="18" spans="1:5" ht="57.75" customHeight="1" x14ac:dyDescent="0.25">
      <c r="A18" s="10">
        <v>2</v>
      </c>
      <c r="B18" s="14" t="s">
        <v>17</v>
      </c>
      <c r="C18" s="12" t="s">
        <v>18</v>
      </c>
      <c r="D18" s="12" t="s">
        <v>19</v>
      </c>
      <c r="E18" s="13">
        <f>800*1*0.5*3.99</f>
        <v>1596</v>
      </c>
    </row>
    <row r="19" spans="1:5" ht="48" customHeight="1" x14ac:dyDescent="0.25">
      <c r="A19" s="10">
        <v>3</v>
      </c>
      <c r="B19" s="12" t="s">
        <v>20</v>
      </c>
      <c r="C19" s="15" t="s">
        <v>21</v>
      </c>
      <c r="D19" s="16">
        <f>(E17+E18)*0.1</f>
        <v>3053.740652256</v>
      </c>
      <c r="E19" s="17">
        <f>D19</f>
        <v>3053.740652256</v>
      </c>
    </row>
    <row r="20" spans="1:5" ht="48" customHeight="1" x14ac:dyDescent="0.25">
      <c r="A20" s="10">
        <v>4</v>
      </c>
      <c r="B20" s="12" t="s">
        <v>22</v>
      </c>
      <c r="C20" s="15"/>
      <c r="D20" s="16"/>
      <c r="E20" s="17">
        <v>5000</v>
      </c>
    </row>
    <row r="21" spans="1:5" ht="48" customHeight="1" x14ac:dyDescent="0.25">
      <c r="A21" s="10">
        <v>5</v>
      </c>
      <c r="B21" s="12" t="s">
        <v>23</v>
      </c>
      <c r="C21" s="15"/>
      <c r="D21" s="16"/>
      <c r="E21" s="17">
        <v>33613.4</v>
      </c>
    </row>
    <row r="22" spans="1:5" x14ac:dyDescent="0.25">
      <c r="A22" s="18"/>
      <c r="B22" s="19" t="s">
        <v>24</v>
      </c>
      <c r="C22" s="15"/>
      <c r="D22" s="15"/>
      <c r="E22" s="17">
        <f>E21+E20+E19+E18+E17</f>
        <v>72204.547174815991</v>
      </c>
    </row>
    <row r="23" spans="1:5" x14ac:dyDescent="0.25">
      <c r="A23" s="18"/>
      <c r="B23" s="19" t="s">
        <v>25</v>
      </c>
      <c r="C23" s="15"/>
      <c r="D23" s="15"/>
      <c r="E23" s="17">
        <f>ROUND(E22*18%,2)</f>
        <v>12996.82</v>
      </c>
    </row>
    <row r="24" spans="1:5" x14ac:dyDescent="0.25">
      <c r="A24" s="18"/>
      <c r="B24" s="19" t="s">
        <v>26</v>
      </c>
      <c r="C24" s="15"/>
      <c r="D24" s="15"/>
      <c r="E24" s="17">
        <f>E22+E23</f>
        <v>85201.367174815998</v>
      </c>
    </row>
    <row r="25" spans="1:5" x14ac:dyDescent="0.25">
      <c r="A25" s="20"/>
      <c r="B25" s="21"/>
      <c r="C25" s="22"/>
      <c r="D25" s="22"/>
      <c r="E25" s="23"/>
    </row>
    <row r="26" spans="1:5" x14ac:dyDescent="0.25">
      <c r="A26" s="1" t="s">
        <v>2</v>
      </c>
    </row>
    <row r="27" spans="1:5" x14ac:dyDescent="0.25">
      <c r="A27" s="1" t="s">
        <v>27</v>
      </c>
    </row>
    <row r="28" spans="1:5" x14ac:dyDescent="0.25">
      <c r="A28" s="1" t="s">
        <v>31</v>
      </c>
    </row>
    <row r="29" spans="1:5" x14ac:dyDescent="0.25">
      <c r="A29" s="4" t="s">
        <v>28</v>
      </c>
    </row>
    <row r="30" spans="1:5" x14ac:dyDescent="0.25">
      <c r="A30" s="1" t="s">
        <v>29</v>
      </c>
    </row>
    <row r="34" spans="5:5" x14ac:dyDescent="0.25">
      <c r="E34" s="1" t="s">
        <v>30</v>
      </c>
    </row>
  </sheetData>
  <mergeCells count="4">
    <mergeCell ref="B1:D1"/>
    <mergeCell ref="A10:E10"/>
    <mergeCell ref="A13:E13"/>
    <mergeCell ref="A14:E14"/>
  </mergeCells>
  <pageMargins left="0.19685039370078741" right="0.19685039370078741" top="0.19685039370078741" bottom="0.19685039370078741" header="0.51181102362204722" footer="0.51181102362204722"/>
  <pageSetup paperSize="9" orientation="portrait" r:id="rId1"/>
  <headerFooter alignWithMargins="0"/>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2"/>
  <sheetViews>
    <sheetView topLeftCell="A10" zoomScaleNormal="100" workbookViewId="0">
      <selection activeCell="C11" sqref="C11"/>
    </sheetView>
  </sheetViews>
  <sheetFormatPr defaultRowHeight="15.75" x14ac:dyDescent="0.25"/>
  <cols>
    <col min="1" max="1" width="4.7109375" style="1" customWidth="1"/>
    <col min="2" max="2" width="26.140625" style="1" customWidth="1"/>
    <col min="3" max="3" width="33" style="1" customWidth="1"/>
    <col min="4" max="4" width="26.7109375" style="1" customWidth="1"/>
    <col min="5" max="5" width="11.85546875" style="1" customWidth="1"/>
    <col min="6" max="16384" width="9.140625" style="1"/>
  </cols>
  <sheetData>
    <row r="1" spans="1:5" x14ac:dyDescent="0.25">
      <c r="B1" s="188" t="s">
        <v>55</v>
      </c>
      <c r="C1" s="188"/>
      <c r="D1" s="188"/>
    </row>
    <row r="3" spans="1:5" x14ac:dyDescent="0.25">
      <c r="A3" s="1" t="s">
        <v>1</v>
      </c>
      <c r="D3" s="2" t="s">
        <v>2</v>
      </c>
      <c r="E3" s="3"/>
    </row>
    <row r="4" spans="1:5" x14ac:dyDescent="0.25">
      <c r="A4" s="1" t="s">
        <v>3</v>
      </c>
      <c r="D4" s="2" t="s">
        <v>4</v>
      </c>
      <c r="E4" s="3"/>
    </row>
    <row r="5" spans="1:5" x14ac:dyDescent="0.25">
      <c r="A5" s="1" t="s">
        <v>5</v>
      </c>
      <c r="D5" s="2" t="s">
        <v>6</v>
      </c>
      <c r="E5" s="3"/>
    </row>
    <row r="6" spans="1:5" x14ac:dyDescent="0.25">
      <c r="D6" s="3"/>
      <c r="E6" s="3"/>
    </row>
    <row r="7" spans="1:5" x14ac:dyDescent="0.25">
      <c r="A7" s="4" t="s">
        <v>54</v>
      </c>
      <c r="D7" s="2" t="s">
        <v>8</v>
      </c>
      <c r="E7" s="3"/>
    </row>
    <row r="8" spans="1:5" x14ac:dyDescent="0.25">
      <c r="A8" s="4" t="s">
        <v>45</v>
      </c>
      <c r="D8" s="2" t="str">
        <f>A8</f>
        <v>"___" ___________ 2018 г.</v>
      </c>
      <c r="E8" s="3"/>
    </row>
    <row r="9" spans="1:5" x14ac:dyDescent="0.25">
      <c r="A9" s="4"/>
      <c r="D9" s="5"/>
      <c r="E9" s="6"/>
    </row>
    <row r="10" spans="1:5" ht="18" customHeight="1" x14ac:dyDescent="0.25">
      <c r="A10" s="189" t="s">
        <v>10</v>
      </c>
      <c r="B10" s="189"/>
      <c r="C10" s="189"/>
      <c r="D10" s="189"/>
      <c r="E10" s="189"/>
    </row>
    <row r="11" spans="1:5" x14ac:dyDescent="0.25">
      <c r="C11" s="39" t="s">
        <v>159</v>
      </c>
    </row>
    <row r="12" spans="1:5" x14ac:dyDescent="0.25">
      <c r="C12" s="7"/>
    </row>
    <row r="13" spans="1:5" ht="35.25" customHeight="1" x14ac:dyDescent="0.25">
      <c r="A13" s="190" t="s">
        <v>155</v>
      </c>
      <c r="B13" s="190"/>
      <c r="C13" s="190"/>
      <c r="D13" s="190"/>
      <c r="E13" s="190"/>
    </row>
    <row r="14" spans="1:5" x14ac:dyDescent="0.25">
      <c r="A14" s="8"/>
      <c r="B14" s="8"/>
      <c r="C14" s="8"/>
      <c r="D14" s="8"/>
      <c r="E14" s="8"/>
    </row>
    <row r="15" spans="1:5" ht="95.25" customHeight="1" x14ac:dyDescent="0.25">
      <c r="A15" s="9" t="s">
        <v>12</v>
      </c>
      <c r="B15" s="9" t="s">
        <v>13</v>
      </c>
      <c r="C15" s="9" t="s">
        <v>14</v>
      </c>
      <c r="D15" s="9" t="s">
        <v>15</v>
      </c>
      <c r="E15" s="9" t="s">
        <v>16</v>
      </c>
    </row>
    <row r="16" spans="1:5" ht="123.75" customHeight="1" x14ac:dyDescent="0.25">
      <c r="A16" s="10">
        <v>1</v>
      </c>
      <c r="B16" s="11" t="s">
        <v>156</v>
      </c>
      <c r="C16" s="11" t="s">
        <v>157</v>
      </c>
      <c r="D16" s="12" t="s">
        <v>158</v>
      </c>
      <c r="E16" s="13">
        <f>1777.93*2.4*1.2*0.805*3.83</f>
        <v>15787.079652960003</v>
      </c>
    </row>
    <row r="17" spans="1:5" ht="57.75" customHeight="1" x14ac:dyDescent="0.25">
      <c r="A17" s="10">
        <v>2</v>
      </c>
      <c r="B17" s="38" t="s">
        <v>17</v>
      </c>
      <c r="C17" s="12" t="s">
        <v>18</v>
      </c>
      <c r="D17" s="12" t="s">
        <v>145</v>
      </c>
      <c r="E17" s="13">
        <f>800*1*0.5*3.83</f>
        <v>1532</v>
      </c>
    </row>
    <row r="18" spans="1:5" ht="48" customHeight="1" x14ac:dyDescent="0.25">
      <c r="A18" s="10">
        <v>3</v>
      </c>
      <c r="B18" s="12" t="s">
        <v>20</v>
      </c>
      <c r="C18" s="15" t="s">
        <v>21</v>
      </c>
      <c r="D18" s="16">
        <f>(E16+E17)*0.1</f>
        <v>1731.9079652960006</v>
      </c>
      <c r="E18" s="17">
        <f>D18</f>
        <v>1731.9079652960006</v>
      </c>
    </row>
    <row r="19" spans="1:5" ht="48" customHeight="1" x14ac:dyDescent="0.25">
      <c r="A19" s="10">
        <v>4</v>
      </c>
      <c r="B19" s="12" t="s">
        <v>23</v>
      </c>
      <c r="C19" s="15"/>
      <c r="D19" s="16"/>
      <c r="E19" s="17">
        <v>40498</v>
      </c>
    </row>
    <row r="20" spans="1:5" x14ac:dyDescent="0.25">
      <c r="A20" s="18"/>
      <c r="B20" s="19" t="s">
        <v>24</v>
      </c>
      <c r="C20" s="15"/>
      <c r="D20" s="15"/>
      <c r="E20" s="17">
        <f>E18+E17+E16+E19</f>
        <v>59548.987618256004</v>
      </c>
    </row>
    <row r="21" spans="1:5" x14ac:dyDescent="0.25">
      <c r="A21" s="18"/>
      <c r="B21" s="19" t="s">
        <v>25</v>
      </c>
      <c r="C21" s="15"/>
      <c r="D21" s="15"/>
      <c r="E21" s="17">
        <f>ROUND(E20*18%,2)</f>
        <v>10718.82</v>
      </c>
    </row>
    <row r="22" spans="1:5" x14ac:dyDescent="0.25">
      <c r="A22" s="18"/>
      <c r="B22" s="19" t="s">
        <v>26</v>
      </c>
      <c r="C22" s="15"/>
      <c r="D22" s="15"/>
      <c r="E22" s="17">
        <f>E20+E21</f>
        <v>70267.807618256003</v>
      </c>
    </row>
    <row r="23" spans="1:5" x14ac:dyDescent="0.25">
      <c r="A23" s="20"/>
      <c r="B23" s="21"/>
      <c r="C23" s="22"/>
      <c r="D23" s="22"/>
      <c r="E23" s="23"/>
    </row>
    <row r="24" spans="1:5" x14ac:dyDescent="0.25">
      <c r="A24" s="1" t="s">
        <v>2</v>
      </c>
    </row>
    <row r="25" spans="1:5" x14ac:dyDescent="0.25">
      <c r="A25" s="1" t="s">
        <v>27</v>
      </c>
    </row>
    <row r="26" spans="1:5" x14ac:dyDescent="0.25">
      <c r="A26" s="1" t="s">
        <v>31</v>
      </c>
    </row>
    <row r="27" spans="1:5" x14ac:dyDescent="0.25">
      <c r="A27" s="4" t="s">
        <v>28</v>
      </c>
    </row>
    <row r="28" spans="1:5" x14ac:dyDescent="0.25">
      <c r="A28" s="1" t="s">
        <v>29</v>
      </c>
    </row>
    <row r="32" spans="1:5" x14ac:dyDescent="0.25">
      <c r="E32" s="1" t="s">
        <v>30</v>
      </c>
    </row>
  </sheetData>
  <mergeCells count="3">
    <mergeCell ref="B1:D1"/>
    <mergeCell ref="A10:E10"/>
    <mergeCell ref="A13:E13"/>
  </mergeCells>
  <pageMargins left="0.19685039370078741" right="0.19685039370078741" top="0.19685039370078741" bottom="0.19685039370078741" header="0.51181102362204722" footer="0.51181102362204722"/>
  <pageSetup paperSize="9" orientation="portrait"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3"/>
  <sheetViews>
    <sheetView topLeftCell="A7" zoomScaleNormal="100" workbookViewId="0">
      <selection activeCell="E21" sqref="E21"/>
    </sheetView>
  </sheetViews>
  <sheetFormatPr defaultRowHeight="15.75" x14ac:dyDescent="0.25"/>
  <cols>
    <col min="1" max="1" width="4.7109375" style="1" customWidth="1"/>
    <col min="2" max="2" width="26.140625" style="1" customWidth="1"/>
    <col min="3" max="3" width="33" style="1" customWidth="1"/>
    <col min="4" max="4" width="26.7109375" style="1" customWidth="1"/>
    <col min="5" max="5" width="11.85546875" style="1" customWidth="1"/>
    <col min="6" max="16384" width="9.140625" style="1"/>
  </cols>
  <sheetData>
    <row r="1" spans="1:5" x14ac:dyDescent="0.25">
      <c r="B1" s="188" t="s">
        <v>55</v>
      </c>
      <c r="C1" s="188"/>
      <c r="D1" s="188"/>
    </row>
    <row r="3" spans="1:5" x14ac:dyDescent="0.25">
      <c r="A3" s="1" t="s">
        <v>1</v>
      </c>
      <c r="D3" s="2" t="s">
        <v>2</v>
      </c>
      <c r="E3" s="3"/>
    </row>
    <row r="4" spans="1:5" x14ac:dyDescent="0.25">
      <c r="A4" s="1" t="s">
        <v>3</v>
      </c>
      <c r="D4" s="2" t="s">
        <v>4</v>
      </c>
      <c r="E4" s="3"/>
    </row>
    <row r="5" spans="1:5" x14ac:dyDescent="0.25">
      <c r="A5" s="1" t="s">
        <v>5</v>
      </c>
      <c r="D5" s="2" t="s">
        <v>6</v>
      </c>
      <c r="E5" s="3"/>
    </row>
    <row r="6" spans="1:5" x14ac:dyDescent="0.25">
      <c r="D6" s="3"/>
      <c r="E6" s="3"/>
    </row>
    <row r="7" spans="1:5" x14ac:dyDescent="0.25">
      <c r="A7" s="4" t="s">
        <v>54</v>
      </c>
      <c r="D7" s="2" t="s">
        <v>8</v>
      </c>
      <c r="E7" s="3"/>
    </row>
    <row r="8" spans="1:5" x14ac:dyDescent="0.25">
      <c r="A8" s="4" t="s">
        <v>45</v>
      </c>
      <c r="D8" s="2" t="str">
        <f>A8</f>
        <v>"___" ___________ 2018 г.</v>
      </c>
      <c r="E8" s="3"/>
    </row>
    <row r="9" spans="1:5" x14ac:dyDescent="0.25">
      <c r="A9" s="4"/>
      <c r="D9" s="5"/>
      <c r="E9" s="6"/>
    </row>
    <row r="10" spans="1:5" ht="18" customHeight="1" x14ac:dyDescent="0.25">
      <c r="A10" s="189" t="s">
        <v>10</v>
      </c>
      <c r="B10" s="189"/>
      <c r="C10" s="189"/>
      <c r="D10" s="189"/>
      <c r="E10" s="189"/>
    </row>
    <row r="11" spans="1:5" x14ac:dyDescent="0.25">
      <c r="C11" s="40" t="s">
        <v>159</v>
      </c>
    </row>
    <row r="12" spans="1:5" x14ac:dyDescent="0.25">
      <c r="C12" s="7"/>
    </row>
    <row r="13" spans="1:5" ht="35.25" customHeight="1" x14ac:dyDescent="0.25">
      <c r="A13" s="190" t="s">
        <v>160</v>
      </c>
      <c r="B13" s="190"/>
      <c r="C13" s="190"/>
      <c r="D13" s="190"/>
      <c r="E13" s="190"/>
    </row>
    <row r="14" spans="1:5" x14ac:dyDescent="0.25">
      <c r="A14" s="8"/>
      <c r="B14" s="8"/>
      <c r="C14" s="8"/>
      <c r="D14" s="8"/>
      <c r="E14" s="8"/>
    </row>
    <row r="15" spans="1:5" ht="95.25" customHeight="1" x14ac:dyDescent="0.25">
      <c r="A15" s="9" t="s">
        <v>12</v>
      </c>
      <c r="B15" s="9" t="s">
        <v>13</v>
      </c>
      <c r="C15" s="9" t="s">
        <v>14</v>
      </c>
      <c r="D15" s="9" t="s">
        <v>15</v>
      </c>
      <c r="E15" s="9" t="s">
        <v>16</v>
      </c>
    </row>
    <row r="16" spans="1:5" ht="123.75" customHeight="1" x14ac:dyDescent="0.25">
      <c r="A16" s="10">
        <v>1</v>
      </c>
      <c r="B16" s="11" t="s">
        <v>161</v>
      </c>
      <c r="C16" s="11" t="s">
        <v>162</v>
      </c>
      <c r="D16" s="12" t="s">
        <v>163</v>
      </c>
      <c r="E16" s="13">
        <f>1527.3*2.4*1.2*0.805*3.83</f>
        <v>13561.617585599999</v>
      </c>
    </row>
    <row r="17" spans="1:5" ht="57.75" customHeight="1" x14ac:dyDescent="0.25">
      <c r="A17" s="10">
        <v>2</v>
      </c>
      <c r="B17" s="41" t="s">
        <v>17</v>
      </c>
      <c r="C17" s="12" t="s">
        <v>18</v>
      </c>
      <c r="D17" s="12" t="s">
        <v>145</v>
      </c>
      <c r="E17" s="13">
        <f>800*1*0.5*3.83</f>
        <v>1532</v>
      </c>
    </row>
    <row r="18" spans="1:5" ht="48" customHeight="1" x14ac:dyDescent="0.25">
      <c r="A18" s="10">
        <v>3</v>
      </c>
      <c r="B18" s="12" t="s">
        <v>20</v>
      </c>
      <c r="C18" s="15" t="s">
        <v>21</v>
      </c>
      <c r="D18" s="16">
        <f>(E16+E17)*0.1</f>
        <v>1509.36175856</v>
      </c>
      <c r="E18" s="17">
        <f>D18</f>
        <v>1509.36175856</v>
      </c>
    </row>
    <row r="19" spans="1:5" ht="48" customHeight="1" x14ac:dyDescent="0.25">
      <c r="A19" s="10">
        <v>4</v>
      </c>
      <c r="B19" s="12" t="s">
        <v>22</v>
      </c>
      <c r="C19" s="12" t="s">
        <v>89</v>
      </c>
      <c r="D19" s="16"/>
      <c r="E19" s="17">
        <v>2295.77</v>
      </c>
    </row>
    <row r="20" spans="1:5" ht="48" customHeight="1" x14ac:dyDescent="0.25">
      <c r="A20" s="10">
        <v>5</v>
      </c>
      <c r="B20" s="12" t="s">
        <v>23</v>
      </c>
      <c r="C20" s="15"/>
      <c r="D20" s="16"/>
      <c r="E20" s="17">
        <v>27202.07</v>
      </c>
    </row>
    <row r="21" spans="1:5" x14ac:dyDescent="0.25">
      <c r="A21" s="18"/>
      <c r="B21" s="19" t="s">
        <v>24</v>
      </c>
      <c r="C21" s="15"/>
      <c r="D21" s="15"/>
      <c r="E21" s="17">
        <f>E19+E18+E17+E16+E20</f>
        <v>46100.819344160001</v>
      </c>
    </row>
    <row r="22" spans="1:5" x14ac:dyDescent="0.25">
      <c r="A22" s="18"/>
      <c r="B22" s="19" t="s">
        <v>25</v>
      </c>
      <c r="C22" s="15"/>
      <c r="D22" s="15"/>
      <c r="E22" s="17">
        <f>ROUND(E21*18%,2)</f>
        <v>8298.15</v>
      </c>
    </row>
    <row r="23" spans="1:5" x14ac:dyDescent="0.25">
      <c r="A23" s="18"/>
      <c r="B23" s="19" t="s">
        <v>26</v>
      </c>
      <c r="C23" s="15"/>
      <c r="D23" s="15"/>
      <c r="E23" s="17">
        <f>E21+E22</f>
        <v>54398.969344160003</v>
      </c>
    </row>
    <row r="24" spans="1:5" x14ac:dyDescent="0.25">
      <c r="A24" s="20"/>
      <c r="B24" s="21"/>
      <c r="C24" s="22"/>
      <c r="D24" s="22"/>
      <c r="E24" s="23"/>
    </row>
    <row r="25" spans="1:5" x14ac:dyDescent="0.25">
      <c r="A25" s="1" t="s">
        <v>2</v>
      </c>
    </row>
    <row r="26" spans="1:5" x14ac:dyDescent="0.25">
      <c r="A26" s="1" t="s">
        <v>27</v>
      </c>
    </row>
    <row r="27" spans="1:5" x14ac:dyDescent="0.25">
      <c r="A27" s="1" t="s">
        <v>31</v>
      </c>
    </row>
    <row r="28" spans="1:5" x14ac:dyDescent="0.25">
      <c r="A28" s="4" t="s">
        <v>28</v>
      </c>
    </row>
    <row r="29" spans="1:5" x14ac:dyDescent="0.25">
      <c r="A29" s="1" t="s">
        <v>29</v>
      </c>
    </row>
    <row r="33" spans="5:5" x14ac:dyDescent="0.25">
      <c r="E33" s="1" t="s">
        <v>30</v>
      </c>
    </row>
  </sheetData>
  <mergeCells count="3">
    <mergeCell ref="B1:D1"/>
    <mergeCell ref="A10:E10"/>
    <mergeCell ref="A13:E13"/>
  </mergeCells>
  <pageMargins left="0.19685039370078741" right="0.19685039370078741" top="0.19685039370078741" bottom="0.19685039370078741" header="0.51181102362204722" footer="0.51181102362204722"/>
  <pageSetup paperSize="9" orientation="portrait" r:id="rId1"/>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3"/>
  <sheetViews>
    <sheetView topLeftCell="A13" zoomScaleNormal="100" workbookViewId="0">
      <selection activeCell="E18" sqref="E18"/>
    </sheetView>
  </sheetViews>
  <sheetFormatPr defaultRowHeight="15.75" x14ac:dyDescent="0.25"/>
  <cols>
    <col min="1" max="1" width="4.7109375" style="1" customWidth="1"/>
    <col min="2" max="2" width="26.140625" style="1" customWidth="1"/>
    <col min="3" max="3" width="33" style="1" customWidth="1"/>
    <col min="4" max="4" width="26.7109375" style="1" customWidth="1"/>
    <col min="5" max="5" width="11.85546875" style="1" customWidth="1"/>
    <col min="6" max="16384" width="9.140625" style="1"/>
  </cols>
  <sheetData>
    <row r="1" spans="1:5" x14ac:dyDescent="0.25">
      <c r="B1" s="188" t="s">
        <v>55</v>
      </c>
      <c r="C1" s="188"/>
      <c r="D1" s="188"/>
    </row>
    <row r="3" spans="1:5" x14ac:dyDescent="0.25">
      <c r="A3" s="1" t="s">
        <v>1</v>
      </c>
      <c r="D3" s="2" t="s">
        <v>2</v>
      </c>
      <c r="E3" s="3"/>
    </row>
    <row r="4" spans="1:5" x14ac:dyDescent="0.25">
      <c r="A4" s="1" t="s">
        <v>3</v>
      </c>
      <c r="D4" s="2" t="s">
        <v>4</v>
      </c>
      <c r="E4" s="3"/>
    </row>
    <row r="5" spans="1:5" x14ac:dyDescent="0.25">
      <c r="A5" s="1" t="s">
        <v>5</v>
      </c>
      <c r="D5" s="2" t="s">
        <v>6</v>
      </c>
      <c r="E5" s="3"/>
    </row>
    <row r="6" spans="1:5" x14ac:dyDescent="0.25">
      <c r="D6" s="3"/>
      <c r="E6" s="3"/>
    </row>
    <row r="7" spans="1:5" x14ac:dyDescent="0.25">
      <c r="A7" s="4" t="s">
        <v>54</v>
      </c>
      <c r="D7" s="2" t="s">
        <v>8</v>
      </c>
      <c r="E7" s="3"/>
    </row>
    <row r="8" spans="1:5" x14ac:dyDescent="0.25">
      <c r="A8" s="4" t="s">
        <v>45</v>
      </c>
      <c r="D8" s="2" t="str">
        <f>A8</f>
        <v>"___" ___________ 2018 г.</v>
      </c>
      <c r="E8" s="3"/>
    </row>
    <row r="9" spans="1:5" x14ac:dyDescent="0.25">
      <c r="A9" s="4"/>
      <c r="D9" s="5"/>
      <c r="E9" s="6"/>
    </row>
    <row r="10" spans="1:5" ht="18" customHeight="1" x14ac:dyDescent="0.25">
      <c r="A10" s="189" t="s">
        <v>10</v>
      </c>
      <c r="B10" s="189"/>
      <c r="C10" s="189"/>
      <c r="D10" s="189"/>
      <c r="E10" s="189"/>
    </row>
    <row r="11" spans="1:5" x14ac:dyDescent="0.25">
      <c r="C11" s="42" t="s">
        <v>159</v>
      </c>
    </row>
    <row r="12" spans="1:5" x14ac:dyDescent="0.25">
      <c r="C12" s="7"/>
    </row>
    <row r="13" spans="1:5" ht="35.25" customHeight="1" x14ac:dyDescent="0.25">
      <c r="A13" s="190" t="s">
        <v>164</v>
      </c>
      <c r="B13" s="190"/>
      <c r="C13" s="190"/>
      <c r="D13" s="190"/>
      <c r="E13" s="190"/>
    </row>
    <row r="14" spans="1:5" x14ac:dyDescent="0.25">
      <c r="A14" s="8"/>
      <c r="B14" s="8"/>
      <c r="C14" s="8"/>
      <c r="D14" s="8"/>
      <c r="E14" s="8"/>
    </row>
    <row r="15" spans="1:5" ht="95.25" customHeight="1" x14ac:dyDescent="0.25">
      <c r="A15" s="9" t="s">
        <v>12</v>
      </c>
      <c r="B15" s="9" t="s">
        <v>13</v>
      </c>
      <c r="C15" s="9" t="s">
        <v>14</v>
      </c>
      <c r="D15" s="9" t="s">
        <v>15</v>
      </c>
      <c r="E15" s="9" t="s">
        <v>16</v>
      </c>
    </row>
    <row r="16" spans="1:5" ht="123.75" customHeight="1" x14ac:dyDescent="0.25">
      <c r="A16" s="10">
        <v>1</v>
      </c>
      <c r="B16" s="11" t="s">
        <v>165</v>
      </c>
      <c r="C16" s="11" t="s">
        <v>166</v>
      </c>
      <c r="D16" s="12" t="s">
        <v>167</v>
      </c>
      <c r="E16" s="13">
        <f>987.89*2.4*1.2*0.805*3.83</f>
        <v>8771.941594079999</v>
      </c>
    </row>
    <row r="17" spans="1:5" ht="57.75" customHeight="1" x14ac:dyDescent="0.25">
      <c r="A17" s="10">
        <v>2</v>
      </c>
      <c r="B17" s="43" t="s">
        <v>17</v>
      </c>
      <c r="C17" s="12" t="s">
        <v>18</v>
      </c>
      <c r="D17" s="12" t="s">
        <v>168</v>
      </c>
      <c r="E17" s="13">
        <f>800*2*0.5*3.83</f>
        <v>3064</v>
      </c>
    </row>
    <row r="18" spans="1:5" ht="48" customHeight="1" x14ac:dyDescent="0.25">
      <c r="A18" s="10">
        <v>3</v>
      </c>
      <c r="B18" s="12" t="s">
        <v>20</v>
      </c>
      <c r="C18" s="15" t="s">
        <v>21</v>
      </c>
      <c r="D18" s="16">
        <f>(E16+E17)*0.1</f>
        <v>1183.594159408</v>
      </c>
      <c r="E18" s="17">
        <f>D18</f>
        <v>1183.594159408</v>
      </c>
    </row>
    <row r="19" spans="1:5" ht="48" customHeight="1" x14ac:dyDescent="0.25">
      <c r="A19" s="10">
        <v>4</v>
      </c>
      <c r="B19" s="12" t="s">
        <v>22</v>
      </c>
      <c r="C19" s="12" t="s">
        <v>89</v>
      </c>
      <c r="D19" s="16"/>
      <c r="E19" s="17">
        <v>10169.5</v>
      </c>
    </row>
    <row r="20" spans="1:5" ht="48" customHeight="1" x14ac:dyDescent="0.25">
      <c r="A20" s="10">
        <v>5</v>
      </c>
      <c r="B20" s="12" t="s">
        <v>23</v>
      </c>
      <c r="C20" s="15"/>
      <c r="D20" s="16"/>
      <c r="E20" s="17">
        <v>25637.68</v>
      </c>
    </row>
    <row r="21" spans="1:5" x14ac:dyDescent="0.25">
      <c r="A21" s="18"/>
      <c r="B21" s="19" t="s">
        <v>24</v>
      </c>
      <c r="C21" s="15"/>
      <c r="D21" s="15"/>
      <c r="E21" s="17">
        <f>E19+E18+E17+E16+E20</f>
        <v>48826.715753487995</v>
      </c>
    </row>
    <row r="22" spans="1:5" x14ac:dyDescent="0.25">
      <c r="A22" s="18"/>
      <c r="B22" s="19" t="s">
        <v>25</v>
      </c>
      <c r="C22" s="15"/>
      <c r="D22" s="15"/>
      <c r="E22" s="17">
        <f>ROUND(E21*18%,2)</f>
        <v>8788.81</v>
      </c>
    </row>
    <row r="23" spans="1:5" x14ac:dyDescent="0.25">
      <c r="A23" s="18"/>
      <c r="B23" s="19" t="s">
        <v>26</v>
      </c>
      <c r="C23" s="15"/>
      <c r="D23" s="15"/>
      <c r="E23" s="17">
        <f>E21+E22</f>
        <v>57615.525753487993</v>
      </c>
    </row>
    <row r="24" spans="1:5" x14ac:dyDescent="0.25">
      <c r="A24" s="20"/>
      <c r="B24" s="21"/>
      <c r="C24" s="22"/>
      <c r="D24" s="22"/>
      <c r="E24" s="23"/>
    </row>
    <row r="25" spans="1:5" x14ac:dyDescent="0.25">
      <c r="A25" s="1" t="s">
        <v>2</v>
      </c>
    </row>
    <row r="26" spans="1:5" x14ac:dyDescent="0.25">
      <c r="A26" s="1" t="s">
        <v>27</v>
      </c>
    </row>
    <row r="27" spans="1:5" x14ac:dyDescent="0.25">
      <c r="A27" s="1" t="s">
        <v>31</v>
      </c>
    </row>
    <row r="28" spans="1:5" x14ac:dyDescent="0.25">
      <c r="A28" s="4" t="s">
        <v>28</v>
      </c>
    </row>
    <row r="29" spans="1:5" x14ac:dyDescent="0.25">
      <c r="A29" s="1" t="s">
        <v>29</v>
      </c>
    </row>
    <row r="33" spans="5:5" x14ac:dyDescent="0.25">
      <c r="E33" s="1" t="s">
        <v>30</v>
      </c>
    </row>
  </sheetData>
  <mergeCells count="3">
    <mergeCell ref="B1:D1"/>
    <mergeCell ref="A10:E10"/>
    <mergeCell ref="A13:E13"/>
  </mergeCells>
  <pageMargins left="0.19685039370078741" right="0.19685039370078741" top="0.19685039370078741" bottom="0.19685039370078741" header="0.51181102362204722" footer="0.51181102362204722"/>
  <pageSetup paperSize="9" orientation="portrait"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3"/>
  <sheetViews>
    <sheetView topLeftCell="A13" zoomScaleNormal="100" workbookViewId="0">
      <selection activeCell="E19" sqref="E19"/>
    </sheetView>
  </sheetViews>
  <sheetFormatPr defaultRowHeight="15.75" x14ac:dyDescent="0.25"/>
  <cols>
    <col min="1" max="1" width="4.7109375" style="1" customWidth="1"/>
    <col min="2" max="2" width="26.140625" style="1" customWidth="1"/>
    <col min="3" max="3" width="33" style="1" customWidth="1"/>
    <col min="4" max="4" width="26.7109375" style="1" customWidth="1"/>
    <col min="5" max="5" width="11.85546875" style="1" customWidth="1"/>
    <col min="6" max="16384" width="9.140625" style="1"/>
  </cols>
  <sheetData>
    <row r="1" spans="1:5" x14ac:dyDescent="0.25">
      <c r="B1" s="188" t="s">
        <v>55</v>
      </c>
      <c r="C1" s="188"/>
      <c r="D1" s="188"/>
    </row>
    <row r="3" spans="1:5" x14ac:dyDescent="0.25">
      <c r="A3" s="1" t="s">
        <v>1</v>
      </c>
      <c r="D3" s="2" t="s">
        <v>2</v>
      </c>
      <c r="E3" s="3"/>
    </row>
    <row r="4" spans="1:5" x14ac:dyDescent="0.25">
      <c r="A4" s="1" t="s">
        <v>3</v>
      </c>
      <c r="D4" s="2" t="s">
        <v>4</v>
      </c>
      <c r="E4" s="3"/>
    </row>
    <row r="5" spans="1:5" x14ac:dyDescent="0.25">
      <c r="A5" s="1" t="s">
        <v>5</v>
      </c>
      <c r="D5" s="2" t="s">
        <v>6</v>
      </c>
      <c r="E5" s="3"/>
    </row>
    <row r="6" spans="1:5" x14ac:dyDescent="0.25">
      <c r="D6" s="3"/>
      <c r="E6" s="3"/>
    </row>
    <row r="7" spans="1:5" x14ac:dyDescent="0.25">
      <c r="A7" s="4" t="s">
        <v>54</v>
      </c>
      <c r="D7" s="2" t="s">
        <v>8</v>
      </c>
      <c r="E7" s="3"/>
    </row>
    <row r="8" spans="1:5" x14ac:dyDescent="0.25">
      <c r="A8" s="4" t="s">
        <v>45</v>
      </c>
      <c r="D8" s="2" t="str">
        <f>A8</f>
        <v>"___" ___________ 2018 г.</v>
      </c>
      <c r="E8" s="3"/>
    </row>
    <row r="9" spans="1:5" x14ac:dyDescent="0.25">
      <c r="A9" s="4"/>
      <c r="D9" s="5"/>
      <c r="E9" s="6"/>
    </row>
    <row r="10" spans="1:5" ht="18" customHeight="1" x14ac:dyDescent="0.25">
      <c r="A10" s="189" t="s">
        <v>10</v>
      </c>
      <c r="B10" s="189"/>
      <c r="C10" s="189"/>
      <c r="D10" s="189"/>
      <c r="E10" s="189"/>
    </row>
    <row r="11" spans="1:5" x14ac:dyDescent="0.25">
      <c r="C11" s="44" t="s">
        <v>159</v>
      </c>
    </row>
    <row r="12" spans="1:5" x14ac:dyDescent="0.25">
      <c r="C12" s="7"/>
    </row>
    <row r="13" spans="1:5" ht="35.25" customHeight="1" x14ac:dyDescent="0.25">
      <c r="A13" s="190" t="s">
        <v>169</v>
      </c>
      <c r="B13" s="190"/>
      <c r="C13" s="190"/>
      <c r="D13" s="190"/>
      <c r="E13" s="190"/>
    </row>
    <row r="14" spans="1:5" x14ac:dyDescent="0.25">
      <c r="A14" s="8"/>
      <c r="B14" s="8"/>
      <c r="C14" s="8"/>
      <c r="D14" s="8"/>
      <c r="E14" s="8"/>
    </row>
    <row r="15" spans="1:5" ht="95.25" customHeight="1" x14ac:dyDescent="0.25">
      <c r="A15" s="9" t="s">
        <v>12</v>
      </c>
      <c r="B15" s="9" t="s">
        <v>13</v>
      </c>
      <c r="C15" s="9" t="s">
        <v>14</v>
      </c>
      <c r="D15" s="9" t="s">
        <v>15</v>
      </c>
      <c r="E15" s="9" t="s">
        <v>16</v>
      </c>
    </row>
    <row r="16" spans="1:5" ht="123.75" customHeight="1" x14ac:dyDescent="0.25">
      <c r="A16" s="10">
        <v>1</v>
      </c>
      <c r="B16" s="11" t="s">
        <v>170</v>
      </c>
      <c r="C16" s="11" t="s">
        <v>171</v>
      </c>
      <c r="D16" s="12" t="s">
        <v>172</v>
      </c>
      <c r="E16" s="13">
        <f>1217.55*2.4*1.2*0.805*3.83</f>
        <v>10811.201133600001</v>
      </c>
    </row>
    <row r="17" spans="1:5" ht="57.75" customHeight="1" x14ac:dyDescent="0.25">
      <c r="A17" s="10">
        <v>2</v>
      </c>
      <c r="B17" s="45" t="s">
        <v>17</v>
      </c>
      <c r="C17" s="12" t="s">
        <v>18</v>
      </c>
      <c r="D17" s="12" t="s">
        <v>145</v>
      </c>
      <c r="E17" s="13">
        <f>800*1*0.5*3.83</f>
        <v>1532</v>
      </c>
    </row>
    <row r="18" spans="1:5" ht="48" customHeight="1" x14ac:dyDescent="0.25">
      <c r="A18" s="10">
        <v>3</v>
      </c>
      <c r="B18" s="12" t="s">
        <v>20</v>
      </c>
      <c r="C18" s="15" t="s">
        <v>21</v>
      </c>
      <c r="D18" s="16">
        <f>(E16+E17)*0.1</f>
        <v>1234.3201133600003</v>
      </c>
      <c r="E18" s="17">
        <f>D18</f>
        <v>1234.3201133600003</v>
      </c>
    </row>
    <row r="19" spans="1:5" ht="48" customHeight="1" x14ac:dyDescent="0.25">
      <c r="A19" s="10">
        <v>4</v>
      </c>
      <c r="B19" s="12" t="s">
        <v>22</v>
      </c>
      <c r="C19" s="12" t="s">
        <v>89</v>
      </c>
      <c r="D19" s="16"/>
      <c r="E19" s="17">
        <v>16752.55</v>
      </c>
    </row>
    <row r="20" spans="1:5" ht="48" customHeight="1" x14ac:dyDescent="0.25">
      <c r="A20" s="10">
        <v>5</v>
      </c>
      <c r="B20" s="12" t="s">
        <v>23</v>
      </c>
      <c r="C20" s="15"/>
      <c r="D20" s="16"/>
      <c r="E20" s="17">
        <v>28724</v>
      </c>
    </row>
    <row r="21" spans="1:5" x14ac:dyDescent="0.25">
      <c r="A21" s="18"/>
      <c r="B21" s="19" t="s">
        <v>24</v>
      </c>
      <c r="C21" s="15"/>
      <c r="D21" s="15"/>
      <c r="E21" s="17">
        <f>E19+E18+E17+E16+E20</f>
        <v>59054.071246960004</v>
      </c>
    </row>
    <row r="22" spans="1:5" x14ac:dyDescent="0.25">
      <c r="A22" s="18"/>
      <c r="B22" s="19" t="s">
        <v>25</v>
      </c>
      <c r="C22" s="15"/>
      <c r="D22" s="15"/>
      <c r="E22" s="17">
        <f>ROUND(E21*18%,2)</f>
        <v>10629.73</v>
      </c>
    </row>
    <row r="23" spans="1:5" x14ac:dyDescent="0.25">
      <c r="A23" s="18"/>
      <c r="B23" s="19" t="s">
        <v>26</v>
      </c>
      <c r="C23" s="15"/>
      <c r="D23" s="15"/>
      <c r="E23" s="17">
        <f>E21+E22</f>
        <v>69683.801246960007</v>
      </c>
    </row>
    <row r="24" spans="1:5" x14ac:dyDescent="0.25">
      <c r="A24" s="20"/>
      <c r="B24" s="21"/>
      <c r="C24" s="22"/>
      <c r="D24" s="22"/>
      <c r="E24" s="23"/>
    </row>
    <row r="25" spans="1:5" x14ac:dyDescent="0.25">
      <c r="A25" s="1" t="s">
        <v>2</v>
      </c>
    </row>
    <row r="26" spans="1:5" x14ac:dyDescent="0.25">
      <c r="A26" s="1" t="s">
        <v>27</v>
      </c>
    </row>
    <row r="27" spans="1:5" x14ac:dyDescent="0.25">
      <c r="A27" s="1" t="s">
        <v>31</v>
      </c>
    </row>
    <row r="28" spans="1:5" x14ac:dyDescent="0.25">
      <c r="A28" s="4" t="s">
        <v>28</v>
      </c>
    </row>
    <row r="29" spans="1:5" x14ac:dyDescent="0.25">
      <c r="A29" s="1" t="s">
        <v>29</v>
      </c>
    </row>
    <row r="33" spans="5:5" x14ac:dyDescent="0.25">
      <c r="E33" s="1" t="s">
        <v>30</v>
      </c>
    </row>
  </sheetData>
  <mergeCells count="3">
    <mergeCell ref="B1:D1"/>
    <mergeCell ref="A10:E10"/>
    <mergeCell ref="A13:E13"/>
  </mergeCells>
  <pageMargins left="0.19685039370078741" right="0.19685039370078741" top="0.19685039370078741" bottom="0.19685039370078741" header="0.51181102362204722" footer="0.51181102362204722"/>
  <pageSetup paperSize="9" orientation="portrait"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3"/>
  <sheetViews>
    <sheetView topLeftCell="A10" zoomScaleNormal="100" workbookViewId="0">
      <selection activeCell="E23" sqref="E23"/>
    </sheetView>
  </sheetViews>
  <sheetFormatPr defaultRowHeight="15.75" x14ac:dyDescent="0.25"/>
  <cols>
    <col min="1" max="1" width="4.7109375" style="1" customWidth="1"/>
    <col min="2" max="2" width="26.140625" style="1" customWidth="1"/>
    <col min="3" max="3" width="33" style="1" customWidth="1"/>
    <col min="4" max="4" width="26.7109375" style="1" customWidth="1"/>
    <col min="5" max="5" width="11.85546875" style="1" customWidth="1"/>
    <col min="6" max="16384" width="9.140625" style="1"/>
  </cols>
  <sheetData>
    <row r="1" spans="1:5" x14ac:dyDescent="0.25">
      <c r="B1" s="188" t="s">
        <v>55</v>
      </c>
      <c r="C1" s="188"/>
      <c r="D1" s="188"/>
    </row>
    <row r="3" spans="1:5" x14ac:dyDescent="0.25">
      <c r="A3" s="1" t="s">
        <v>1</v>
      </c>
      <c r="D3" s="2" t="s">
        <v>2</v>
      </c>
      <c r="E3" s="3"/>
    </row>
    <row r="4" spans="1:5" x14ac:dyDescent="0.25">
      <c r="A4" s="1" t="s">
        <v>3</v>
      </c>
      <c r="D4" s="2" t="s">
        <v>4</v>
      </c>
      <c r="E4" s="3"/>
    </row>
    <row r="5" spans="1:5" x14ac:dyDescent="0.25">
      <c r="A5" s="1" t="s">
        <v>5</v>
      </c>
      <c r="D5" s="2" t="s">
        <v>6</v>
      </c>
      <c r="E5" s="3"/>
    </row>
    <row r="6" spans="1:5" x14ac:dyDescent="0.25">
      <c r="D6" s="3"/>
      <c r="E6" s="3"/>
    </row>
    <row r="7" spans="1:5" x14ac:dyDescent="0.25">
      <c r="A7" s="4" t="s">
        <v>54</v>
      </c>
      <c r="D7" s="2" t="s">
        <v>8</v>
      </c>
      <c r="E7" s="3"/>
    </row>
    <row r="8" spans="1:5" x14ac:dyDescent="0.25">
      <c r="A8" s="4" t="s">
        <v>45</v>
      </c>
      <c r="D8" s="2" t="str">
        <f>A8</f>
        <v>"___" ___________ 2018 г.</v>
      </c>
      <c r="E8" s="3"/>
    </row>
    <row r="9" spans="1:5" x14ac:dyDescent="0.25">
      <c r="A9" s="4"/>
      <c r="D9" s="5"/>
      <c r="E9" s="6"/>
    </row>
    <row r="10" spans="1:5" ht="18" customHeight="1" x14ac:dyDescent="0.25">
      <c r="A10" s="189" t="s">
        <v>10</v>
      </c>
      <c r="B10" s="189"/>
      <c r="C10" s="189"/>
      <c r="D10" s="189"/>
      <c r="E10" s="189"/>
    </row>
    <row r="11" spans="1:5" x14ac:dyDescent="0.25">
      <c r="C11" s="46" t="s">
        <v>159</v>
      </c>
    </row>
    <row r="12" spans="1:5" x14ac:dyDescent="0.25">
      <c r="C12" s="7"/>
    </row>
    <row r="13" spans="1:5" ht="35.25" customHeight="1" x14ac:dyDescent="0.25">
      <c r="A13" s="190" t="s">
        <v>173</v>
      </c>
      <c r="B13" s="190"/>
      <c r="C13" s="190"/>
      <c r="D13" s="190"/>
      <c r="E13" s="190"/>
    </row>
    <row r="14" spans="1:5" x14ac:dyDescent="0.25">
      <c r="A14" s="8"/>
      <c r="B14" s="8"/>
      <c r="C14" s="8"/>
      <c r="D14" s="8"/>
      <c r="E14" s="8"/>
    </row>
    <row r="15" spans="1:5" ht="95.25" customHeight="1" x14ac:dyDescent="0.25">
      <c r="A15" s="9" t="s">
        <v>12</v>
      </c>
      <c r="B15" s="9" t="s">
        <v>13</v>
      </c>
      <c r="C15" s="9" t="s">
        <v>14</v>
      </c>
      <c r="D15" s="9" t="s">
        <v>15</v>
      </c>
      <c r="E15" s="9" t="s">
        <v>16</v>
      </c>
    </row>
    <row r="16" spans="1:5" ht="123.75" customHeight="1" x14ac:dyDescent="0.25">
      <c r="A16" s="10">
        <v>1</v>
      </c>
      <c r="B16" s="11" t="s">
        <v>174</v>
      </c>
      <c r="C16" s="11" t="s">
        <v>175</v>
      </c>
      <c r="D16" s="12" t="s">
        <v>176</v>
      </c>
      <c r="E16" s="13">
        <f>747.76*2.4*1.2*0.805*3.83</f>
        <v>6639.7139827200008</v>
      </c>
    </row>
    <row r="17" spans="1:5" ht="57.75" customHeight="1" x14ac:dyDescent="0.25">
      <c r="A17" s="10">
        <v>2</v>
      </c>
      <c r="B17" s="47" t="s">
        <v>17</v>
      </c>
      <c r="C17" s="12" t="s">
        <v>18</v>
      </c>
      <c r="D17" s="12" t="s">
        <v>145</v>
      </c>
      <c r="E17" s="13">
        <f>800*1*0.5*3.83</f>
        <v>1532</v>
      </c>
    </row>
    <row r="18" spans="1:5" ht="48" customHeight="1" x14ac:dyDescent="0.25">
      <c r="A18" s="10">
        <v>3</v>
      </c>
      <c r="B18" s="12" t="s">
        <v>20</v>
      </c>
      <c r="C18" s="15" t="s">
        <v>21</v>
      </c>
      <c r="D18" s="16">
        <f>(E16+E17)*0.1</f>
        <v>817.17139827200015</v>
      </c>
      <c r="E18" s="17">
        <f>D18</f>
        <v>817.17139827200015</v>
      </c>
    </row>
    <row r="19" spans="1:5" ht="48" customHeight="1" x14ac:dyDescent="0.25">
      <c r="A19" s="10">
        <v>4</v>
      </c>
      <c r="B19" s="12" t="s">
        <v>22</v>
      </c>
      <c r="C19" s="12" t="s">
        <v>89</v>
      </c>
      <c r="D19" s="16"/>
      <c r="E19" s="17">
        <v>5076.76</v>
      </c>
    </row>
    <row r="20" spans="1:5" ht="48" customHeight="1" x14ac:dyDescent="0.25">
      <c r="A20" s="10">
        <v>5</v>
      </c>
      <c r="B20" s="12" t="s">
        <v>23</v>
      </c>
      <c r="C20" s="15"/>
      <c r="D20" s="16"/>
      <c r="E20" s="17">
        <v>31764</v>
      </c>
    </row>
    <row r="21" spans="1:5" x14ac:dyDescent="0.25">
      <c r="A21" s="18"/>
      <c r="B21" s="19" t="s">
        <v>24</v>
      </c>
      <c r="C21" s="15"/>
      <c r="D21" s="15"/>
      <c r="E21" s="17">
        <f>E19+E18+E17+E16+E20</f>
        <v>45829.645380992006</v>
      </c>
    </row>
    <row r="22" spans="1:5" x14ac:dyDescent="0.25">
      <c r="A22" s="18"/>
      <c r="B22" s="19" t="s">
        <v>25</v>
      </c>
      <c r="C22" s="15"/>
      <c r="D22" s="15"/>
      <c r="E22" s="17">
        <f>ROUND(E21*18%,2)</f>
        <v>8249.34</v>
      </c>
    </row>
    <row r="23" spans="1:5" x14ac:dyDescent="0.25">
      <c r="A23" s="18"/>
      <c r="B23" s="19" t="s">
        <v>26</v>
      </c>
      <c r="C23" s="15"/>
      <c r="D23" s="15"/>
      <c r="E23" s="17">
        <f>E21+E22</f>
        <v>54078.985380992002</v>
      </c>
    </row>
    <row r="24" spans="1:5" x14ac:dyDescent="0.25">
      <c r="A24" s="20"/>
      <c r="B24" s="21"/>
      <c r="C24" s="22"/>
      <c r="D24" s="22"/>
      <c r="E24" s="23"/>
    </row>
    <row r="25" spans="1:5" x14ac:dyDescent="0.25">
      <c r="A25" s="1" t="s">
        <v>2</v>
      </c>
    </row>
    <row r="26" spans="1:5" x14ac:dyDescent="0.25">
      <c r="A26" s="1" t="s">
        <v>27</v>
      </c>
    </row>
    <row r="27" spans="1:5" x14ac:dyDescent="0.25">
      <c r="A27" s="1" t="s">
        <v>31</v>
      </c>
    </row>
    <row r="28" spans="1:5" x14ac:dyDescent="0.25">
      <c r="A28" s="4" t="s">
        <v>28</v>
      </c>
    </row>
    <row r="29" spans="1:5" x14ac:dyDescent="0.25">
      <c r="A29" s="1" t="s">
        <v>29</v>
      </c>
    </row>
    <row r="33" spans="5:5" x14ac:dyDescent="0.25">
      <c r="E33" s="1" t="s">
        <v>30</v>
      </c>
    </row>
  </sheetData>
  <mergeCells count="3">
    <mergeCell ref="B1:D1"/>
    <mergeCell ref="A10:E10"/>
    <mergeCell ref="A13:E13"/>
  </mergeCells>
  <pageMargins left="0.19685039370078741" right="0.19685039370078741" top="0.19685039370078741" bottom="0.19685039370078741" header="0.51181102362204722" footer="0.51181102362204722"/>
  <pageSetup paperSize="9" orientation="portrait" r:id="rId1"/>
  <headerFooter alignWithMargins="0"/>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3"/>
  <sheetViews>
    <sheetView zoomScaleNormal="100" workbookViewId="0">
      <selection activeCell="D17" sqref="D17"/>
    </sheetView>
  </sheetViews>
  <sheetFormatPr defaultRowHeight="15.75" x14ac:dyDescent="0.25"/>
  <cols>
    <col min="1" max="1" width="4.7109375" style="1" customWidth="1"/>
    <col min="2" max="2" width="26.140625" style="1" customWidth="1"/>
    <col min="3" max="3" width="33" style="1" customWidth="1"/>
    <col min="4" max="4" width="26.7109375" style="1" customWidth="1"/>
    <col min="5" max="5" width="11.85546875" style="1" customWidth="1"/>
    <col min="6" max="16384" width="9.140625" style="1"/>
  </cols>
  <sheetData>
    <row r="1" spans="1:5" x14ac:dyDescent="0.25">
      <c r="B1" s="188" t="s">
        <v>55</v>
      </c>
      <c r="C1" s="188"/>
      <c r="D1" s="188"/>
    </row>
    <row r="3" spans="1:5" x14ac:dyDescent="0.25">
      <c r="A3" s="1" t="s">
        <v>1</v>
      </c>
      <c r="D3" s="2" t="s">
        <v>2</v>
      </c>
      <c r="E3" s="3"/>
    </row>
    <row r="4" spans="1:5" x14ac:dyDescent="0.25">
      <c r="A4" s="1" t="s">
        <v>3</v>
      </c>
      <c r="D4" s="2" t="s">
        <v>4</v>
      </c>
      <c r="E4" s="3"/>
    </row>
    <row r="5" spans="1:5" x14ac:dyDescent="0.25">
      <c r="A5" s="1" t="s">
        <v>5</v>
      </c>
      <c r="D5" s="2" t="s">
        <v>6</v>
      </c>
      <c r="E5" s="3"/>
    </row>
    <row r="6" spans="1:5" x14ac:dyDescent="0.25">
      <c r="D6" s="3"/>
      <c r="E6" s="3"/>
    </row>
    <row r="7" spans="1:5" x14ac:dyDescent="0.25">
      <c r="A7" s="4" t="s">
        <v>54</v>
      </c>
      <c r="D7" s="2" t="s">
        <v>8</v>
      </c>
      <c r="E7" s="3"/>
    </row>
    <row r="8" spans="1:5" x14ac:dyDescent="0.25">
      <c r="A8" s="4" t="s">
        <v>45</v>
      </c>
      <c r="D8" s="2" t="str">
        <f>A8</f>
        <v>"___" ___________ 2018 г.</v>
      </c>
      <c r="E8" s="3"/>
    </row>
    <row r="9" spans="1:5" x14ac:dyDescent="0.25">
      <c r="A9" s="4"/>
      <c r="D9" s="5"/>
      <c r="E9" s="6"/>
    </row>
    <row r="10" spans="1:5" ht="18" customHeight="1" x14ac:dyDescent="0.25">
      <c r="A10" s="189" t="s">
        <v>10</v>
      </c>
      <c r="B10" s="189"/>
      <c r="C10" s="189"/>
      <c r="D10" s="189"/>
      <c r="E10" s="189"/>
    </row>
    <row r="11" spans="1:5" x14ac:dyDescent="0.25">
      <c r="C11" s="48" t="s">
        <v>159</v>
      </c>
    </row>
    <row r="12" spans="1:5" x14ac:dyDescent="0.25">
      <c r="C12" s="7"/>
    </row>
    <row r="13" spans="1:5" ht="35.25" customHeight="1" x14ac:dyDescent="0.25">
      <c r="A13" s="190" t="s">
        <v>180</v>
      </c>
      <c r="B13" s="190"/>
      <c r="C13" s="190"/>
      <c r="D13" s="190"/>
      <c r="E13" s="190"/>
    </row>
    <row r="14" spans="1:5" x14ac:dyDescent="0.25">
      <c r="A14" s="8"/>
      <c r="B14" s="8"/>
      <c r="C14" s="8"/>
      <c r="D14" s="8"/>
      <c r="E14" s="8"/>
    </row>
    <row r="15" spans="1:5" ht="95.25" customHeight="1" x14ac:dyDescent="0.25">
      <c r="A15" s="9" t="s">
        <v>12</v>
      </c>
      <c r="B15" s="9" t="s">
        <v>13</v>
      </c>
      <c r="C15" s="9" t="s">
        <v>14</v>
      </c>
      <c r="D15" s="9" t="s">
        <v>15</v>
      </c>
      <c r="E15" s="9" t="s">
        <v>16</v>
      </c>
    </row>
    <row r="16" spans="1:5" ht="123.75" customHeight="1" x14ac:dyDescent="0.25">
      <c r="A16" s="10">
        <v>1</v>
      </c>
      <c r="B16" s="11" t="s">
        <v>177</v>
      </c>
      <c r="C16" s="11" t="s">
        <v>178</v>
      </c>
      <c r="D16" s="12" t="s">
        <v>179</v>
      </c>
      <c r="E16" s="13">
        <f>2681.4*2.4*1.2*0.805*3.83</f>
        <v>23809.416220799998</v>
      </c>
    </row>
    <row r="17" spans="1:5" ht="57.75" customHeight="1" x14ac:dyDescent="0.25">
      <c r="A17" s="10">
        <v>2</v>
      </c>
      <c r="B17" s="49" t="s">
        <v>17</v>
      </c>
      <c r="C17" s="12" t="s">
        <v>18</v>
      </c>
      <c r="D17" s="12" t="s">
        <v>145</v>
      </c>
      <c r="E17" s="13">
        <f>800*1*0.5*3.83</f>
        <v>1532</v>
      </c>
    </row>
    <row r="18" spans="1:5" ht="48" customHeight="1" x14ac:dyDescent="0.25">
      <c r="A18" s="10">
        <v>3</v>
      </c>
      <c r="B18" s="12" t="s">
        <v>20</v>
      </c>
      <c r="C18" s="15" t="s">
        <v>21</v>
      </c>
      <c r="D18" s="16">
        <f>(E16+E17)*0.1</f>
        <v>2534.1416220800002</v>
      </c>
      <c r="E18" s="17">
        <f>D18</f>
        <v>2534.1416220800002</v>
      </c>
    </row>
    <row r="19" spans="1:5" ht="48" customHeight="1" x14ac:dyDescent="0.25">
      <c r="A19" s="10">
        <v>4</v>
      </c>
      <c r="B19" s="12" t="s">
        <v>22</v>
      </c>
      <c r="C19" s="12" t="s">
        <v>89</v>
      </c>
      <c r="D19" s="16"/>
      <c r="E19" s="17">
        <v>5000</v>
      </c>
    </row>
    <row r="20" spans="1:5" ht="48" customHeight="1" x14ac:dyDescent="0.25">
      <c r="A20" s="10">
        <v>5</v>
      </c>
      <c r="B20" s="12" t="s">
        <v>23</v>
      </c>
      <c r="C20" s="15"/>
      <c r="D20" s="16"/>
      <c r="E20" s="17">
        <v>66522</v>
      </c>
    </row>
    <row r="21" spans="1:5" x14ac:dyDescent="0.25">
      <c r="A21" s="18"/>
      <c r="B21" s="19" t="s">
        <v>24</v>
      </c>
      <c r="C21" s="15"/>
      <c r="D21" s="15"/>
      <c r="E21" s="17">
        <f>E19+E18+E17+E16+E20</f>
        <v>99397.557842879993</v>
      </c>
    </row>
    <row r="22" spans="1:5" x14ac:dyDescent="0.25">
      <c r="A22" s="18"/>
      <c r="B22" s="19" t="s">
        <v>25</v>
      </c>
      <c r="C22" s="15"/>
      <c r="D22" s="15"/>
      <c r="E22" s="17">
        <f>ROUND(E21*18%,2)</f>
        <v>17891.560000000001</v>
      </c>
    </row>
    <row r="23" spans="1:5" x14ac:dyDescent="0.25">
      <c r="A23" s="18"/>
      <c r="B23" s="19" t="s">
        <v>26</v>
      </c>
      <c r="C23" s="15"/>
      <c r="D23" s="15"/>
      <c r="E23" s="17">
        <f>E21+E22</f>
        <v>117289.11784287999</v>
      </c>
    </row>
    <row r="24" spans="1:5" x14ac:dyDescent="0.25">
      <c r="A24" s="20"/>
      <c r="B24" s="21"/>
      <c r="C24" s="22"/>
      <c r="D24" s="22"/>
      <c r="E24" s="23"/>
    </row>
    <row r="25" spans="1:5" x14ac:dyDescent="0.25">
      <c r="A25" s="1" t="s">
        <v>2</v>
      </c>
    </row>
    <row r="26" spans="1:5" x14ac:dyDescent="0.25">
      <c r="A26" s="1" t="s">
        <v>27</v>
      </c>
    </row>
    <row r="27" spans="1:5" x14ac:dyDescent="0.25">
      <c r="A27" s="1" t="s">
        <v>31</v>
      </c>
    </row>
    <row r="28" spans="1:5" x14ac:dyDescent="0.25">
      <c r="A28" s="4" t="s">
        <v>28</v>
      </c>
    </row>
    <row r="29" spans="1:5" x14ac:dyDescent="0.25">
      <c r="A29" s="1" t="s">
        <v>29</v>
      </c>
    </row>
    <row r="33" spans="5:5" x14ac:dyDescent="0.25">
      <c r="E33" s="1" t="s">
        <v>30</v>
      </c>
    </row>
  </sheetData>
  <mergeCells count="3">
    <mergeCell ref="B1:D1"/>
    <mergeCell ref="A10:E10"/>
    <mergeCell ref="A13:E13"/>
  </mergeCells>
  <pageMargins left="0.19685039370078741" right="0.19685039370078741" top="0.19685039370078741" bottom="0.19685039370078741" header="0.51181102362204722" footer="0.51181102362204722"/>
  <pageSetup paperSize="9" orientation="portrait"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48"/>
  <sheetViews>
    <sheetView zoomScaleNormal="100" workbookViewId="0">
      <selection activeCell="A10" sqref="A10:I10"/>
    </sheetView>
  </sheetViews>
  <sheetFormatPr defaultColWidth="11.5703125" defaultRowHeight="12.75" x14ac:dyDescent="0.2"/>
  <cols>
    <col min="1" max="1" width="3.7109375" style="50" customWidth="1"/>
    <col min="2" max="2" width="10.7109375" style="50" customWidth="1"/>
    <col min="3" max="3" width="10.28515625" style="50" customWidth="1"/>
    <col min="4" max="6" width="9.28515625" style="50" customWidth="1"/>
    <col min="7" max="7" width="19.42578125" style="50" customWidth="1"/>
    <col min="8" max="8" width="16.5703125" style="50" customWidth="1"/>
    <col min="9" max="9" width="13.5703125" style="50" customWidth="1"/>
    <col min="10" max="10" width="19.7109375" style="51" customWidth="1"/>
    <col min="11" max="256" width="11.5703125" style="51"/>
    <col min="257" max="257" width="3.7109375" style="51" customWidth="1"/>
    <col min="258" max="259" width="10.7109375" style="51" customWidth="1"/>
    <col min="260" max="263" width="9.28515625" style="51" customWidth="1"/>
    <col min="264" max="264" width="14.5703125" style="51" customWidth="1"/>
    <col min="265" max="265" width="17.7109375" style="51" customWidth="1"/>
    <col min="266" max="266" width="19.7109375" style="51" customWidth="1"/>
    <col min="267" max="512" width="11.5703125" style="51"/>
    <col min="513" max="513" width="3.7109375" style="51" customWidth="1"/>
    <col min="514" max="515" width="10.7109375" style="51" customWidth="1"/>
    <col min="516" max="519" width="9.28515625" style="51" customWidth="1"/>
    <col min="520" max="520" width="14.5703125" style="51" customWidth="1"/>
    <col min="521" max="521" width="17.7109375" style="51" customWidth="1"/>
    <col min="522" max="522" width="19.7109375" style="51" customWidth="1"/>
    <col min="523" max="768" width="11.5703125" style="51"/>
    <col min="769" max="769" width="3.7109375" style="51" customWidth="1"/>
    <col min="770" max="771" width="10.7109375" style="51" customWidth="1"/>
    <col min="772" max="775" width="9.28515625" style="51" customWidth="1"/>
    <col min="776" max="776" width="14.5703125" style="51" customWidth="1"/>
    <col min="777" max="777" width="17.7109375" style="51" customWidth="1"/>
    <col min="778" max="778" width="19.7109375" style="51" customWidth="1"/>
    <col min="779" max="1024" width="11.5703125" style="51"/>
    <col min="1025" max="1025" width="3.7109375" style="51" customWidth="1"/>
    <col min="1026" max="1027" width="10.7109375" style="51" customWidth="1"/>
    <col min="1028" max="1031" width="9.28515625" style="51" customWidth="1"/>
    <col min="1032" max="1032" width="14.5703125" style="51" customWidth="1"/>
    <col min="1033" max="1033" width="17.7109375" style="51" customWidth="1"/>
    <col min="1034" max="1034" width="19.7109375" style="51" customWidth="1"/>
    <col min="1035" max="1280" width="11.5703125" style="51"/>
    <col min="1281" max="1281" width="3.7109375" style="51" customWidth="1"/>
    <col min="1282" max="1283" width="10.7109375" style="51" customWidth="1"/>
    <col min="1284" max="1287" width="9.28515625" style="51" customWidth="1"/>
    <col min="1288" max="1288" width="14.5703125" style="51" customWidth="1"/>
    <col min="1289" max="1289" width="17.7109375" style="51" customWidth="1"/>
    <col min="1290" max="1290" width="19.7109375" style="51" customWidth="1"/>
    <col min="1291" max="1536" width="11.5703125" style="51"/>
    <col min="1537" max="1537" width="3.7109375" style="51" customWidth="1"/>
    <col min="1538" max="1539" width="10.7109375" style="51" customWidth="1"/>
    <col min="1540" max="1543" width="9.28515625" style="51" customWidth="1"/>
    <col min="1544" max="1544" width="14.5703125" style="51" customWidth="1"/>
    <col min="1545" max="1545" width="17.7109375" style="51" customWidth="1"/>
    <col min="1546" max="1546" width="19.7109375" style="51" customWidth="1"/>
    <col min="1547" max="1792" width="11.5703125" style="51"/>
    <col min="1793" max="1793" width="3.7109375" style="51" customWidth="1"/>
    <col min="1794" max="1795" width="10.7109375" style="51" customWidth="1"/>
    <col min="1796" max="1799" width="9.28515625" style="51" customWidth="1"/>
    <col min="1800" max="1800" width="14.5703125" style="51" customWidth="1"/>
    <col min="1801" max="1801" width="17.7109375" style="51" customWidth="1"/>
    <col min="1802" max="1802" width="19.7109375" style="51" customWidth="1"/>
    <col min="1803" max="2048" width="11.5703125" style="51"/>
    <col min="2049" max="2049" width="3.7109375" style="51" customWidth="1"/>
    <col min="2050" max="2051" width="10.7109375" style="51" customWidth="1"/>
    <col min="2052" max="2055" width="9.28515625" style="51" customWidth="1"/>
    <col min="2056" max="2056" width="14.5703125" style="51" customWidth="1"/>
    <col min="2057" max="2057" width="17.7109375" style="51" customWidth="1"/>
    <col min="2058" max="2058" width="19.7109375" style="51" customWidth="1"/>
    <col min="2059" max="2304" width="11.5703125" style="51"/>
    <col min="2305" max="2305" width="3.7109375" style="51" customWidth="1"/>
    <col min="2306" max="2307" width="10.7109375" style="51" customWidth="1"/>
    <col min="2308" max="2311" width="9.28515625" style="51" customWidth="1"/>
    <col min="2312" max="2312" width="14.5703125" style="51" customWidth="1"/>
    <col min="2313" max="2313" width="17.7109375" style="51" customWidth="1"/>
    <col min="2314" max="2314" width="19.7109375" style="51" customWidth="1"/>
    <col min="2315" max="2560" width="11.5703125" style="51"/>
    <col min="2561" max="2561" width="3.7109375" style="51" customWidth="1"/>
    <col min="2562" max="2563" width="10.7109375" style="51" customWidth="1"/>
    <col min="2564" max="2567" width="9.28515625" style="51" customWidth="1"/>
    <col min="2568" max="2568" width="14.5703125" style="51" customWidth="1"/>
    <col min="2569" max="2569" width="17.7109375" style="51" customWidth="1"/>
    <col min="2570" max="2570" width="19.7109375" style="51" customWidth="1"/>
    <col min="2571" max="2816" width="11.5703125" style="51"/>
    <col min="2817" max="2817" width="3.7109375" style="51" customWidth="1"/>
    <col min="2818" max="2819" width="10.7109375" style="51" customWidth="1"/>
    <col min="2820" max="2823" width="9.28515625" style="51" customWidth="1"/>
    <col min="2824" max="2824" width="14.5703125" style="51" customWidth="1"/>
    <col min="2825" max="2825" width="17.7109375" style="51" customWidth="1"/>
    <col min="2826" max="2826" width="19.7109375" style="51" customWidth="1"/>
    <col min="2827" max="3072" width="11.5703125" style="51"/>
    <col min="3073" max="3073" width="3.7109375" style="51" customWidth="1"/>
    <col min="3074" max="3075" width="10.7109375" style="51" customWidth="1"/>
    <col min="3076" max="3079" width="9.28515625" style="51" customWidth="1"/>
    <col min="3080" max="3080" width="14.5703125" style="51" customWidth="1"/>
    <col min="3081" max="3081" width="17.7109375" style="51" customWidth="1"/>
    <col min="3082" max="3082" width="19.7109375" style="51" customWidth="1"/>
    <col min="3083" max="3328" width="11.5703125" style="51"/>
    <col min="3329" max="3329" width="3.7109375" style="51" customWidth="1"/>
    <col min="3330" max="3331" width="10.7109375" style="51" customWidth="1"/>
    <col min="3332" max="3335" width="9.28515625" style="51" customWidth="1"/>
    <col min="3336" max="3336" width="14.5703125" style="51" customWidth="1"/>
    <col min="3337" max="3337" width="17.7109375" style="51" customWidth="1"/>
    <col min="3338" max="3338" width="19.7109375" style="51" customWidth="1"/>
    <col min="3339" max="3584" width="11.5703125" style="51"/>
    <col min="3585" max="3585" width="3.7109375" style="51" customWidth="1"/>
    <col min="3586" max="3587" width="10.7109375" style="51" customWidth="1"/>
    <col min="3588" max="3591" width="9.28515625" style="51" customWidth="1"/>
    <col min="3592" max="3592" width="14.5703125" style="51" customWidth="1"/>
    <col min="3593" max="3593" width="17.7109375" style="51" customWidth="1"/>
    <col min="3594" max="3594" width="19.7109375" style="51" customWidth="1"/>
    <col min="3595" max="3840" width="11.5703125" style="51"/>
    <col min="3841" max="3841" width="3.7109375" style="51" customWidth="1"/>
    <col min="3842" max="3843" width="10.7109375" style="51" customWidth="1"/>
    <col min="3844" max="3847" width="9.28515625" style="51" customWidth="1"/>
    <col min="3848" max="3848" width="14.5703125" style="51" customWidth="1"/>
    <col min="3849" max="3849" width="17.7109375" style="51" customWidth="1"/>
    <col min="3850" max="3850" width="19.7109375" style="51" customWidth="1"/>
    <col min="3851" max="4096" width="11.5703125" style="51"/>
    <col min="4097" max="4097" width="3.7109375" style="51" customWidth="1"/>
    <col min="4098" max="4099" width="10.7109375" style="51" customWidth="1"/>
    <col min="4100" max="4103" width="9.28515625" style="51" customWidth="1"/>
    <col min="4104" max="4104" width="14.5703125" style="51" customWidth="1"/>
    <col min="4105" max="4105" width="17.7109375" style="51" customWidth="1"/>
    <col min="4106" max="4106" width="19.7109375" style="51" customWidth="1"/>
    <col min="4107" max="4352" width="11.5703125" style="51"/>
    <col min="4353" max="4353" width="3.7109375" style="51" customWidth="1"/>
    <col min="4354" max="4355" width="10.7109375" style="51" customWidth="1"/>
    <col min="4356" max="4359" width="9.28515625" style="51" customWidth="1"/>
    <col min="4360" max="4360" width="14.5703125" style="51" customWidth="1"/>
    <col min="4361" max="4361" width="17.7109375" style="51" customWidth="1"/>
    <col min="4362" max="4362" width="19.7109375" style="51" customWidth="1"/>
    <col min="4363" max="4608" width="11.5703125" style="51"/>
    <col min="4609" max="4609" width="3.7109375" style="51" customWidth="1"/>
    <col min="4610" max="4611" width="10.7109375" style="51" customWidth="1"/>
    <col min="4612" max="4615" width="9.28515625" style="51" customWidth="1"/>
    <col min="4616" max="4616" width="14.5703125" style="51" customWidth="1"/>
    <col min="4617" max="4617" width="17.7109375" style="51" customWidth="1"/>
    <col min="4618" max="4618" width="19.7109375" style="51" customWidth="1"/>
    <col min="4619" max="4864" width="11.5703125" style="51"/>
    <col min="4865" max="4865" width="3.7109375" style="51" customWidth="1"/>
    <col min="4866" max="4867" width="10.7109375" style="51" customWidth="1"/>
    <col min="4868" max="4871" width="9.28515625" style="51" customWidth="1"/>
    <col min="4872" max="4872" width="14.5703125" style="51" customWidth="1"/>
    <col min="4873" max="4873" width="17.7109375" style="51" customWidth="1"/>
    <col min="4874" max="4874" width="19.7109375" style="51" customWidth="1"/>
    <col min="4875" max="5120" width="11.5703125" style="51"/>
    <col min="5121" max="5121" width="3.7109375" style="51" customWidth="1"/>
    <col min="5122" max="5123" width="10.7109375" style="51" customWidth="1"/>
    <col min="5124" max="5127" width="9.28515625" style="51" customWidth="1"/>
    <col min="5128" max="5128" width="14.5703125" style="51" customWidth="1"/>
    <col min="5129" max="5129" width="17.7109375" style="51" customWidth="1"/>
    <col min="5130" max="5130" width="19.7109375" style="51" customWidth="1"/>
    <col min="5131" max="5376" width="11.5703125" style="51"/>
    <col min="5377" max="5377" width="3.7109375" style="51" customWidth="1"/>
    <col min="5378" max="5379" width="10.7109375" style="51" customWidth="1"/>
    <col min="5380" max="5383" width="9.28515625" style="51" customWidth="1"/>
    <col min="5384" max="5384" width="14.5703125" style="51" customWidth="1"/>
    <col min="5385" max="5385" width="17.7109375" style="51" customWidth="1"/>
    <col min="5386" max="5386" width="19.7109375" style="51" customWidth="1"/>
    <col min="5387" max="5632" width="11.5703125" style="51"/>
    <col min="5633" max="5633" width="3.7109375" style="51" customWidth="1"/>
    <col min="5634" max="5635" width="10.7109375" style="51" customWidth="1"/>
    <col min="5636" max="5639" width="9.28515625" style="51" customWidth="1"/>
    <col min="5640" max="5640" width="14.5703125" style="51" customWidth="1"/>
    <col min="5641" max="5641" width="17.7109375" style="51" customWidth="1"/>
    <col min="5642" max="5642" width="19.7109375" style="51" customWidth="1"/>
    <col min="5643" max="5888" width="11.5703125" style="51"/>
    <col min="5889" max="5889" width="3.7109375" style="51" customWidth="1"/>
    <col min="5890" max="5891" width="10.7109375" style="51" customWidth="1"/>
    <col min="5892" max="5895" width="9.28515625" style="51" customWidth="1"/>
    <col min="5896" max="5896" width="14.5703125" style="51" customWidth="1"/>
    <col min="5897" max="5897" width="17.7109375" style="51" customWidth="1"/>
    <col min="5898" max="5898" width="19.7109375" style="51" customWidth="1"/>
    <col min="5899" max="6144" width="11.5703125" style="51"/>
    <col min="6145" max="6145" width="3.7109375" style="51" customWidth="1"/>
    <col min="6146" max="6147" width="10.7109375" style="51" customWidth="1"/>
    <col min="6148" max="6151" width="9.28515625" style="51" customWidth="1"/>
    <col min="6152" max="6152" width="14.5703125" style="51" customWidth="1"/>
    <col min="6153" max="6153" width="17.7109375" style="51" customWidth="1"/>
    <col min="6154" max="6154" width="19.7109375" style="51" customWidth="1"/>
    <col min="6155" max="6400" width="11.5703125" style="51"/>
    <col min="6401" max="6401" width="3.7109375" style="51" customWidth="1"/>
    <col min="6402" max="6403" width="10.7109375" style="51" customWidth="1"/>
    <col min="6404" max="6407" width="9.28515625" style="51" customWidth="1"/>
    <col min="6408" max="6408" width="14.5703125" style="51" customWidth="1"/>
    <col min="6409" max="6409" width="17.7109375" style="51" customWidth="1"/>
    <col min="6410" max="6410" width="19.7109375" style="51" customWidth="1"/>
    <col min="6411" max="6656" width="11.5703125" style="51"/>
    <col min="6657" max="6657" width="3.7109375" style="51" customWidth="1"/>
    <col min="6658" max="6659" width="10.7109375" style="51" customWidth="1"/>
    <col min="6660" max="6663" width="9.28515625" style="51" customWidth="1"/>
    <col min="6664" max="6664" width="14.5703125" style="51" customWidth="1"/>
    <col min="6665" max="6665" width="17.7109375" style="51" customWidth="1"/>
    <col min="6666" max="6666" width="19.7109375" style="51" customWidth="1"/>
    <col min="6667" max="6912" width="11.5703125" style="51"/>
    <col min="6913" max="6913" width="3.7109375" style="51" customWidth="1"/>
    <col min="6914" max="6915" width="10.7109375" style="51" customWidth="1"/>
    <col min="6916" max="6919" width="9.28515625" style="51" customWidth="1"/>
    <col min="6920" max="6920" width="14.5703125" style="51" customWidth="1"/>
    <col min="6921" max="6921" width="17.7109375" style="51" customWidth="1"/>
    <col min="6922" max="6922" width="19.7109375" style="51" customWidth="1"/>
    <col min="6923" max="7168" width="11.5703125" style="51"/>
    <col min="7169" max="7169" width="3.7109375" style="51" customWidth="1"/>
    <col min="7170" max="7171" width="10.7109375" style="51" customWidth="1"/>
    <col min="7172" max="7175" width="9.28515625" style="51" customWidth="1"/>
    <col min="7176" max="7176" width="14.5703125" style="51" customWidth="1"/>
    <col min="7177" max="7177" width="17.7109375" style="51" customWidth="1"/>
    <col min="7178" max="7178" width="19.7109375" style="51" customWidth="1"/>
    <col min="7179" max="7424" width="11.5703125" style="51"/>
    <col min="7425" max="7425" width="3.7109375" style="51" customWidth="1"/>
    <col min="7426" max="7427" width="10.7109375" style="51" customWidth="1"/>
    <col min="7428" max="7431" width="9.28515625" style="51" customWidth="1"/>
    <col min="7432" max="7432" width="14.5703125" style="51" customWidth="1"/>
    <col min="7433" max="7433" width="17.7109375" style="51" customWidth="1"/>
    <col min="7434" max="7434" width="19.7109375" style="51" customWidth="1"/>
    <col min="7435" max="7680" width="11.5703125" style="51"/>
    <col min="7681" max="7681" width="3.7109375" style="51" customWidth="1"/>
    <col min="7682" max="7683" width="10.7109375" style="51" customWidth="1"/>
    <col min="7684" max="7687" width="9.28515625" style="51" customWidth="1"/>
    <col min="7688" max="7688" width="14.5703125" style="51" customWidth="1"/>
    <col min="7689" max="7689" width="17.7109375" style="51" customWidth="1"/>
    <col min="7690" max="7690" width="19.7109375" style="51" customWidth="1"/>
    <col min="7691" max="7936" width="11.5703125" style="51"/>
    <col min="7937" max="7937" width="3.7109375" style="51" customWidth="1"/>
    <col min="7938" max="7939" width="10.7109375" style="51" customWidth="1"/>
    <col min="7940" max="7943" width="9.28515625" style="51" customWidth="1"/>
    <col min="7944" max="7944" width="14.5703125" style="51" customWidth="1"/>
    <col min="7945" max="7945" width="17.7109375" style="51" customWidth="1"/>
    <col min="7946" max="7946" width="19.7109375" style="51" customWidth="1"/>
    <col min="7947" max="8192" width="11.5703125" style="51"/>
    <col min="8193" max="8193" width="3.7109375" style="51" customWidth="1"/>
    <col min="8194" max="8195" width="10.7109375" style="51" customWidth="1"/>
    <col min="8196" max="8199" width="9.28515625" style="51" customWidth="1"/>
    <col min="8200" max="8200" width="14.5703125" style="51" customWidth="1"/>
    <col min="8201" max="8201" width="17.7109375" style="51" customWidth="1"/>
    <col min="8202" max="8202" width="19.7109375" style="51" customWidth="1"/>
    <col min="8203" max="8448" width="11.5703125" style="51"/>
    <col min="8449" max="8449" width="3.7109375" style="51" customWidth="1"/>
    <col min="8450" max="8451" width="10.7109375" style="51" customWidth="1"/>
    <col min="8452" max="8455" width="9.28515625" style="51" customWidth="1"/>
    <col min="8456" max="8456" width="14.5703125" style="51" customWidth="1"/>
    <col min="8457" max="8457" width="17.7109375" style="51" customWidth="1"/>
    <col min="8458" max="8458" width="19.7109375" style="51" customWidth="1"/>
    <col min="8459" max="8704" width="11.5703125" style="51"/>
    <col min="8705" max="8705" width="3.7109375" style="51" customWidth="1"/>
    <col min="8706" max="8707" width="10.7109375" style="51" customWidth="1"/>
    <col min="8708" max="8711" width="9.28515625" style="51" customWidth="1"/>
    <col min="8712" max="8712" width="14.5703125" style="51" customWidth="1"/>
    <col min="8713" max="8713" width="17.7109375" style="51" customWidth="1"/>
    <col min="8714" max="8714" width="19.7109375" style="51" customWidth="1"/>
    <col min="8715" max="8960" width="11.5703125" style="51"/>
    <col min="8961" max="8961" width="3.7109375" style="51" customWidth="1"/>
    <col min="8962" max="8963" width="10.7109375" style="51" customWidth="1"/>
    <col min="8964" max="8967" width="9.28515625" style="51" customWidth="1"/>
    <col min="8968" max="8968" width="14.5703125" style="51" customWidth="1"/>
    <col min="8969" max="8969" width="17.7109375" style="51" customWidth="1"/>
    <col min="8970" max="8970" width="19.7109375" style="51" customWidth="1"/>
    <col min="8971" max="9216" width="11.5703125" style="51"/>
    <col min="9217" max="9217" width="3.7109375" style="51" customWidth="1"/>
    <col min="9218" max="9219" width="10.7109375" style="51" customWidth="1"/>
    <col min="9220" max="9223" width="9.28515625" style="51" customWidth="1"/>
    <col min="9224" max="9224" width="14.5703125" style="51" customWidth="1"/>
    <col min="9225" max="9225" width="17.7109375" style="51" customWidth="1"/>
    <col min="9226" max="9226" width="19.7109375" style="51" customWidth="1"/>
    <col min="9227" max="9472" width="11.5703125" style="51"/>
    <col min="9473" max="9473" width="3.7109375" style="51" customWidth="1"/>
    <col min="9474" max="9475" width="10.7109375" style="51" customWidth="1"/>
    <col min="9476" max="9479" width="9.28515625" style="51" customWidth="1"/>
    <col min="9480" max="9480" width="14.5703125" style="51" customWidth="1"/>
    <col min="9481" max="9481" width="17.7109375" style="51" customWidth="1"/>
    <col min="9482" max="9482" width="19.7109375" style="51" customWidth="1"/>
    <col min="9483" max="9728" width="11.5703125" style="51"/>
    <col min="9729" max="9729" width="3.7109375" style="51" customWidth="1"/>
    <col min="9730" max="9731" width="10.7109375" style="51" customWidth="1"/>
    <col min="9732" max="9735" width="9.28515625" style="51" customWidth="1"/>
    <col min="9736" max="9736" width="14.5703125" style="51" customWidth="1"/>
    <col min="9737" max="9737" width="17.7109375" style="51" customWidth="1"/>
    <col min="9738" max="9738" width="19.7109375" style="51" customWidth="1"/>
    <col min="9739" max="9984" width="11.5703125" style="51"/>
    <col min="9985" max="9985" width="3.7109375" style="51" customWidth="1"/>
    <col min="9986" max="9987" width="10.7109375" style="51" customWidth="1"/>
    <col min="9988" max="9991" width="9.28515625" style="51" customWidth="1"/>
    <col min="9992" max="9992" width="14.5703125" style="51" customWidth="1"/>
    <col min="9993" max="9993" width="17.7109375" style="51" customWidth="1"/>
    <col min="9994" max="9994" width="19.7109375" style="51" customWidth="1"/>
    <col min="9995" max="10240" width="11.5703125" style="51"/>
    <col min="10241" max="10241" width="3.7109375" style="51" customWidth="1"/>
    <col min="10242" max="10243" width="10.7109375" style="51" customWidth="1"/>
    <col min="10244" max="10247" width="9.28515625" style="51" customWidth="1"/>
    <col min="10248" max="10248" width="14.5703125" style="51" customWidth="1"/>
    <col min="10249" max="10249" width="17.7109375" style="51" customWidth="1"/>
    <col min="10250" max="10250" width="19.7109375" style="51" customWidth="1"/>
    <col min="10251" max="10496" width="11.5703125" style="51"/>
    <col min="10497" max="10497" width="3.7109375" style="51" customWidth="1"/>
    <col min="10498" max="10499" width="10.7109375" style="51" customWidth="1"/>
    <col min="10500" max="10503" width="9.28515625" style="51" customWidth="1"/>
    <col min="10504" max="10504" width="14.5703125" style="51" customWidth="1"/>
    <col min="10505" max="10505" width="17.7109375" style="51" customWidth="1"/>
    <col min="10506" max="10506" width="19.7109375" style="51" customWidth="1"/>
    <col min="10507" max="10752" width="11.5703125" style="51"/>
    <col min="10753" max="10753" width="3.7109375" style="51" customWidth="1"/>
    <col min="10754" max="10755" width="10.7109375" style="51" customWidth="1"/>
    <col min="10756" max="10759" width="9.28515625" style="51" customWidth="1"/>
    <col min="10760" max="10760" width="14.5703125" style="51" customWidth="1"/>
    <col min="10761" max="10761" width="17.7109375" style="51" customWidth="1"/>
    <col min="10762" max="10762" width="19.7109375" style="51" customWidth="1"/>
    <col min="10763" max="11008" width="11.5703125" style="51"/>
    <col min="11009" max="11009" width="3.7109375" style="51" customWidth="1"/>
    <col min="11010" max="11011" width="10.7109375" style="51" customWidth="1"/>
    <col min="11012" max="11015" width="9.28515625" style="51" customWidth="1"/>
    <col min="11016" max="11016" width="14.5703125" style="51" customWidth="1"/>
    <col min="11017" max="11017" width="17.7109375" style="51" customWidth="1"/>
    <col min="11018" max="11018" width="19.7109375" style="51" customWidth="1"/>
    <col min="11019" max="11264" width="11.5703125" style="51"/>
    <col min="11265" max="11265" width="3.7109375" style="51" customWidth="1"/>
    <col min="11266" max="11267" width="10.7109375" style="51" customWidth="1"/>
    <col min="11268" max="11271" width="9.28515625" style="51" customWidth="1"/>
    <col min="11272" max="11272" width="14.5703125" style="51" customWidth="1"/>
    <col min="11273" max="11273" width="17.7109375" style="51" customWidth="1"/>
    <col min="11274" max="11274" width="19.7109375" style="51" customWidth="1"/>
    <col min="11275" max="11520" width="11.5703125" style="51"/>
    <col min="11521" max="11521" width="3.7109375" style="51" customWidth="1"/>
    <col min="11522" max="11523" width="10.7109375" style="51" customWidth="1"/>
    <col min="11524" max="11527" width="9.28515625" style="51" customWidth="1"/>
    <col min="11528" max="11528" width="14.5703125" style="51" customWidth="1"/>
    <col min="11529" max="11529" width="17.7109375" style="51" customWidth="1"/>
    <col min="11530" max="11530" width="19.7109375" style="51" customWidth="1"/>
    <col min="11531" max="11776" width="11.5703125" style="51"/>
    <col min="11777" max="11777" width="3.7109375" style="51" customWidth="1"/>
    <col min="11778" max="11779" width="10.7109375" style="51" customWidth="1"/>
    <col min="11780" max="11783" width="9.28515625" style="51" customWidth="1"/>
    <col min="11784" max="11784" width="14.5703125" style="51" customWidth="1"/>
    <col min="11785" max="11785" width="17.7109375" style="51" customWidth="1"/>
    <col min="11786" max="11786" width="19.7109375" style="51" customWidth="1"/>
    <col min="11787" max="12032" width="11.5703125" style="51"/>
    <col min="12033" max="12033" width="3.7109375" style="51" customWidth="1"/>
    <col min="12034" max="12035" width="10.7109375" style="51" customWidth="1"/>
    <col min="12036" max="12039" width="9.28515625" style="51" customWidth="1"/>
    <col min="12040" max="12040" width="14.5703125" style="51" customWidth="1"/>
    <col min="12041" max="12041" width="17.7109375" style="51" customWidth="1"/>
    <col min="12042" max="12042" width="19.7109375" style="51" customWidth="1"/>
    <col min="12043" max="12288" width="11.5703125" style="51"/>
    <col min="12289" max="12289" width="3.7109375" style="51" customWidth="1"/>
    <col min="12290" max="12291" width="10.7109375" style="51" customWidth="1"/>
    <col min="12292" max="12295" width="9.28515625" style="51" customWidth="1"/>
    <col min="12296" max="12296" width="14.5703125" style="51" customWidth="1"/>
    <col min="12297" max="12297" width="17.7109375" style="51" customWidth="1"/>
    <col min="12298" max="12298" width="19.7109375" style="51" customWidth="1"/>
    <col min="12299" max="12544" width="11.5703125" style="51"/>
    <col min="12545" max="12545" width="3.7109375" style="51" customWidth="1"/>
    <col min="12546" max="12547" width="10.7109375" style="51" customWidth="1"/>
    <col min="12548" max="12551" width="9.28515625" style="51" customWidth="1"/>
    <col min="12552" max="12552" width="14.5703125" style="51" customWidth="1"/>
    <col min="12553" max="12553" width="17.7109375" style="51" customWidth="1"/>
    <col min="12554" max="12554" width="19.7109375" style="51" customWidth="1"/>
    <col min="12555" max="12800" width="11.5703125" style="51"/>
    <col min="12801" max="12801" width="3.7109375" style="51" customWidth="1"/>
    <col min="12802" max="12803" width="10.7109375" style="51" customWidth="1"/>
    <col min="12804" max="12807" width="9.28515625" style="51" customWidth="1"/>
    <col min="12808" max="12808" width="14.5703125" style="51" customWidth="1"/>
    <col min="12809" max="12809" width="17.7109375" style="51" customWidth="1"/>
    <col min="12810" max="12810" width="19.7109375" style="51" customWidth="1"/>
    <col min="12811" max="13056" width="11.5703125" style="51"/>
    <col min="13057" max="13057" width="3.7109375" style="51" customWidth="1"/>
    <col min="13058" max="13059" width="10.7109375" style="51" customWidth="1"/>
    <col min="13060" max="13063" width="9.28515625" style="51" customWidth="1"/>
    <col min="13064" max="13064" width="14.5703125" style="51" customWidth="1"/>
    <col min="13065" max="13065" width="17.7109375" style="51" customWidth="1"/>
    <col min="13066" max="13066" width="19.7109375" style="51" customWidth="1"/>
    <col min="13067" max="13312" width="11.5703125" style="51"/>
    <col min="13313" max="13313" width="3.7109375" style="51" customWidth="1"/>
    <col min="13314" max="13315" width="10.7109375" style="51" customWidth="1"/>
    <col min="13316" max="13319" width="9.28515625" style="51" customWidth="1"/>
    <col min="13320" max="13320" width="14.5703125" style="51" customWidth="1"/>
    <col min="13321" max="13321" width="17.7109375" style="51" customWidth="1"/>
    <col min="13322" max="13322" width="19.7109375" style="51" customWidth="1"/>
    <col min="13323" max="13568" width="11.5703125" style="51"/>
    <col min="13569" max="13569" width="3.7109375" style="51" customWidth="1"/>
    <col min="13570" max="13571" width="10.7109375" style="51" customWidth="1"/>
    <col min="13572" max="13575" width="9.28515625" style="51" customWidth="1"/>
    <col min="13576" max="13576" width="14.5703125" style="51" customWidth="1"/>
    <col min="13577" max="13577" width="17.7109375" style="51" customWidth="1"/>
    <col min="13578" max="13578" width="19.7109375" style="51" customWidth="1"/>
    <col min="13579" max="13824" width="11.5703125" style="51"/>
    <col min="13825" max="13825" width="3.7109375" style="51" customWidth="1"/>
    <col min="13826" max="13827" width="10.7109375" style="51" customWidth="1"/>
    <col min="13828" max="13831" width="9.28515625" style="51" customWidth="1"/>
    <col min="13832" max="13832" width="14.5703125" style="51" customWidth="1"/>
    <col min="13833" max="13833" width="17.7109375" style="51" customWidth="1"/>
    <col min="13834" max="13834" width="19.7109375" style="51" customWidth="1"/>
    <col min="13835" max="14080" width="11.5703125" style="51"/>
    <col min="14081" max="14081" width="3.7109375" style="51" customWidth="1"/>
    <col min="14082" max="14083" width="10.7109375" style="51" customWidth="1"/>
    <col min="14084" max="14087" width="9.28515625" style="51" customWidth="1"/>
    <col min="14088" max="14088" width="14.5703125" style="51" customWidth="1"/>
    <col min="14089" max="14089" width="17.7109375" style="51" customWidth="1"/>
    <col min="14090" max="14090" width="19.7109375" style="51" customWidth="1"/>
    <col min="14091" max="14336" width="11.5703125" style="51"/>
    <col min="14337" max="14337" width="3.7109375" style="51" customWidth="1"/>
    <col min="14338" max="14339" width="10.7109375" style="51" customWidth="1"/>
    <col min="14340" max="14343" width="9.28515625" style="51" customWidth="1"/>
    <col min="14344" max="14344" width="14.5703125" style="51" customWidth="1"/>
    <col min="14345" max="14345" width="17.7109375" style="51" customWidth="1"/>
    <col min="14346" max="14346" width="19.7109375" style="51" customWidth="1"/>
    <col min="14347" max="14592" width="11.5703125" style="51"/>
    <col min="14593" max="14593" width="3.7109375" style="51" customWidth="1"/>
    <col min="14594" max="14595" width="10.7109375" style="51" customWidth="1"/>
    <col min="14596" max="14599" width="9.28515625" style="51" customWidth="1"/>
    <col min="14600" max="14600" width="14.5703125" style="51" customWidth="1"/>
    <col min="14601" max="14601" width="17.7109375" style="51" customWidth="1"/>
    <col min="14602" max="14602" width="19.7109375" style="51" customWidth="1"/>
    <col min="14603" max="14848" width="11.5703125" style="51"/>
    <col min="14849" max="14849" width="3.7109375" style="51" customWidth="1"/>
    <col min="14850" max="14851" width="10.7109375" style="51" customWidth="1"/>
    <col min="14852" max="14855" width="9.28515625" style="51" customWidth="1"/>
    <col min="14856" max="14856" width="14.5703125" style="51" customWidth="1"/>
    <col min="14857" max="14857" width="17.7109375" style="51" customWidth="1"/>
    <col min="14858" max="14858" width="19.7109375" style="51" customWidth="1"/>
    <col min="14859" max="15104" width="11.5703125" style="51"/>
    <col min="15105" max="15105" width="3.7109375" style="51" customWidth="1"/>
    <col min="15106" max="15107" width="10.7109375" style="51" customWidth="1"/>
    <col min="15108" max="15111" width="9.28515625" style="51" customWidth="1"/>
    <col min="15112" max="15112" width="14.5703125" style="51" customWidth="1"/>
    <col min="15113" max="15113" width="17.7109375" style="51" customWidth="1"/>
    <col min="15114" max="15114" width="19.7109375" style="51" customWidth="1"/>
    <col min="15115" max="15360" width="11.5703125" style="51"/>
    <col min="15361" max="15361" width="3.7109375" style="51" customWidth="1"/>
    <col min="15362" max="15363" width="10.7109375" style="51" customWidth="1"/>
    <col min="15364" max="15367" width="9.28515625" style="51" customWidth="1"/>
    <col min="15368" max="15368" width="14.5703125" style="51" customWidth="1"/>
    <col min="15369" max="15369" width="17.7109375" style="51" customWidth="1"/>
    <col min="15370" max="15370" width="19.7109375" style="51" customWidth="1"/>
    <col min="15371" max="15616" width="11.5703125" style="51"/>
    <col min="15617" max="15617" width="3.7109375" style="51" customWidth="1"/>
    <col min="15618" max="15619" width="10.7109375" style="51" customWidth="1"/>
    <col min="15620" max="15623" width="9.28515625" style="51" customWidth="1"/>
    <col min="15624" max="15624" width="14.5703125" style="51" customWidth="1"/>
    <col min="15625" max="15625" width="17.7109375" style="51" customWidth="1"/>
    <col min="15626" max="15626" width="19.7109375" style="51" customWidth="1"/>
    <col min="15627" max="15872" width="11.5703125" style="51"/>
    <col min="15873" max="15873" width="3.7109375" style="51" customWidth="1"/>
    <col min="15874" max="15875" width="10.7109375" style="51" customWidth="1"/>
    <col min="15876" max="15879" width="9.28515625" style="51" customWidth="1"/>
    <col min="15880" max="15880" width="14.5703125" style="51" customWidth="1"/>
    <col min="15881" max="15881" width="17.7109375" style="51" customWidth="1"/>
    <col min="15882" max="15882" width="19.7109375" style="51" customWidth="1"/>
    <col min="15883" max="16128" width="11.5703125" style="51"/>
    <col min="16129" max="16129" width="3.7109375" style="51" customWidth="1"/>
    <col min="16130" max="16131" width="10.7109375" style="51" customWidth="1"/>
    <col min="16132" max="16135" width="9.28515625" style="51" customWidth="1"/>
    <col min="16136" max="16136" width="14.5703125" style="51" customWidth="1"/>
    <col min="16137" max="16137" width="17.7109375" style="51" customWidth="1"/>
    <col min="16138" max="16138" width="19.7109375" style="51" customWidth="1"/>
    <col min="16139" max="16384" width="11.5703125" style="51"/>
  </cols>
  <sheetData>
    <row r="1" spans="1:256" ht="12.75" customHeight="1" x14ac:dyDescent="0.2">
      <c r="C1" s="199" t="s">
        <v>181</v>
      </c>
      <c r="D1" s="199"/>
      <c r="E1" s="199"/>
      <c r="F1" s="199"/>
      <c r="G1" s="199"/>
      <c r="H1" s="199"/>
      <c r="I1" s="199"/>
    </row>
    <row r="2" spans="1:256" x14ac:dyDescent="0.2">
      <c r="F2" s="51"/>
      <c r="G2" s="51"/>
      <c r="H2" s="51"/>
      <c r="I2" s="51"/>
    </row>
    <row r="3" spans="1:256" s="52" customFormat="1" ht="15.75" x14ac:dyDescent="0.25">
      <c r="A3" s="52" t="s">
        <v>1</v>
      </c>
      <c r="H3" s="52" t="s">
        <v>182</v>
      </c>
    </row>
    <row r="4" spans="1:256" s="52" customFormat="1" ht="15.75" x14ac:dyDescent="0.25">
      <c r="A4" s="52" t="s">
        <v>183</v>
      </c>
      <c r="H4" s="52" t="s">
        <v>4</v>
      </c>
    </row>
    <row r="5" spans="1:256" s="52" customFormat="1" ht="15.75" x14ac:dyDescent="0.25">
      <c r="A5" s="52" t="s">
        <v>5</v>
      </c>
      <c r="H5" s="52" t="s">
        <v>6</v>
      </c>
    </row>
    <row r="6" spans="1:256" s="52" customFormat="1" ht="15.75" x14ac:dyDescent="0.25"/>
    <row r="7" spans="1:256" s="52" customFormat="1" ht="15.75" x14ac:dyDescent="0.25">
      <c r="A7" s="2" t="s">
        <v>184</v>
      </c>
      <c r="H7" s="2" t="s">
        <v>185</v>
      </c>
    </row>
    <row r="8" spans="1:256" s="52" customFormat="1" ht="15.75" x14ac:dyDescent="0.25">
      <c r="A8" s="2" t="s">
        <v>186</v>
      </c>
      <c r="H8" s="53" t="str">
        <f>A8</f>
        <v>"___"  ____________  2018г.</v>
      </c>
      <c r="I8" s="54"/>
    </row>
    <row r="9" spans="1:256" s="52" customFormat="1" ht="11.25" customHeight="1" x14ac:dyDescent="0.25">
      <c r="A9" s="2"/>
      <c r="D9" s="53"/>
      <c r="E9" s="54"/>
    </row>
    <row r="10" spans="1:256" ht="15.75" x14ac:dyDescent="0.2">
      <c r="A10" s="200" t="s">
        <v>187</v>
      </c>
      <c r="B10" s="200"/>
      <c r="C10" s="200"/>
      <c r="D10" s="200"/>
      <c r="E10" s="200"/>
      <c r="F10" s="200"/>
      <c r="G10" s="200"/>
      <c r="H10" s="200"/>
      <c r="I10" s="200"/>
    </row>
    <row r="11" spans="1:256" ht="15.75" customHeight="1" x14ac:dyDescent="0.2">
      <c r="A11" s="201" t="s">
        <v>159</v>
      </c>
      <c r="B11" s="202"/>
      <c r="C11" s="202"/>
      <c r="D11" s="202"/>
      <c r="E11" s="202"/>
      <c r="F11" s="202"/>
      <c r="G11" s="202"/>
      <c r="H11" s="202"/>
      <c r="I11" s="202"/>
    </row>
    <row r="12" spans="1:256" x14ac:dyDescent="0.2">
      <c r="A12" s="55"/>
      <c r="B12" s="56"/>
      <c r="C12" s="57"/>
      <c r="D12" s="57"/>
      <c r="E12" s="57"/>
      <c r="F12" s="56"/>
      <c r="G12" s="56"/>
      <c r="H12" s="56"/>
      <c r="I12" s="56"/>
      <c r="J12" s="56"/>
      <c r="K12" s="56"/>
      <c r="L12" s="56"/>
      <c r="M12" s="56"/>
      <c r="N12" s="56"/>
      <c r="O12" s="56"/>
      <c r="P12" s="56"/>
      <c r="Q12" s="56"/>
      <c r="R12" s="56"/>
      <c r="S12" s="56"/>
      <c r="T12" s="56"/>
      <c r="U12" s="56"/>
      <c r="V12" s="56"/>
      <c r="W12" s="56"/>
      <c r="X12" s="56"/>
      <c r="Y12" s="56"/>
      <c r="Z12" s="56"/>
      <c r="AA12" s="56"/>
      <c r="AB12" s="56"/>
      <c r="AC12" s="56"/>
      <c r="AD12" s="56"/>
      <c r="AE12" s="56"/>
      <c r="AF12" s="56"/>
      <c r="AG12" s="56"/>
      <c r="AH12" s="56"/>
      <c r="AI12" s="56"/>
      <c r="AJ12" s="56"/>
      <c r="AK12" s="56"/>
      <c r="AL12" s="56"/>
      <c r="AM12" s="56"/>
      <c r="AN12" s="56"/>
      <c r="AO12" s="56"/>
      <c r="AP12" s="56"/>
      <c r="AQ12" s="56"/>
      <c r="AR12" s="56"/>
      <c r="AS12" s="56"/>
      <c r="AT12" s="56"/>
      <c r="AU12" s="56"/>
      <c r="AV12" s="56"/>
      <c r="AW12" s="56"/>
      <c r="AX12" s="56"/>
      <c r="AY12" s="56"/>
      <c r="AZ12" s="56"/>
      <c r="BA12" s="56"/>
      <c r="BB12" s="56"/>
      <c r="BC12" s="56"/>
      <c r="BD12" s="56"/>
      <c r="BE12" s="56"/>
      <c r="BF12" s="56"/>
      <c r="BG12" s="56"/>
      <c r="BH12" s="56"/>
      <c r="BI12" s="56"/>
      <c r="BJ12" s="56"/>
      <c r="BK12" s="56"/>
      <c r="BL12" s="56"/>
      <c r="BM12" s="56"/>
      <c r="BN12" s="56"/>
      <c r="BO12" s="56"/>
      <c r="BP12" s="56"/>
      <c r="BQ12" s="56"/>
      <c r="BR12" s="56"/>
      <c r="BS12" s="56"/>
      <c r="BT12" s="56"/>
      <c r="BU12" s="56"/>
      <c r="BV12" s="56"/>
      <c r="BW12" s="56"/>
      <c r="BX12" s="56"/>
      <c r="BY12" s="56"/>
      <c r="BZ12" s="56"/>
      <c r="CA12" s="56"/>
      <c r="CB12" s="56"/>
      <c r="CC12" s="56"/>
      <c r="CD12" s="56"/>
      <c r="CE12" s="56"/>
      <c r="CF12" s="56"/>
      <c r="CG12" s="56"/>
      <c r="CH12" s="56"/>
      <c r="CI12" s="56"/>
      <c r="CJ12" s="56"/>
      <c r="CK12" s="56"/>
      <c r="CL12" s="56"/>
      <c r="CM12" s="56"/>
      <c r="CN12" s="56"/>
      <c r="CO12" s="56"/>
      <c r="CP12" s="56"/>
      <c r="CQ12" s="56"/>
      <c r="CR12" s="56"/>
      <c r="CS12" s="56"/>
      <c r="CT12" s="56"/>
      <c r="CU12" s="56"/>
      <c r="CV12" s="56"/>
      <c r="CW12" s="56"/>
      <c r="CX12" s="56"/>
      <c r="CY12" s="56"/>
      <c r="CZ12" s="56"/>
      <c r="DA12" s="56"/>
      <c r="DB12" s="56"/>
      <c r="DC12" s="56"/>
      <c r="DD12" s="56"/>
      <c r="DE12" s="56"/>
      <c r="DF12" s="56"/>
      <c r="DG12" s="56"/>
      <c r="DH12" s="56"/>
      <c r="DI12" s="56"/>
      <c r="DJ12" s="56"/>
      <c r="DK12" s="56"/>
      <c r="DL12" s="56"/>
      <c r="DM12" s="56"/>
      <c r="DN12" s="56"/>
      <c r="DO12" s="56"/>
      <c r="DP12" s="56"/>
      <c r="DQ12" s="56"/>
      <c r="DR12" s="56"/>
      <c r="DS12" s="56"/>
      <c r="DT12" s="56"/>
      <c r="DU12" s="56"/>
      <c r="DV12" s="56"/>
      <c r="DW12" s="56"/>
      <c r="DX12" s="56"/>
      <c r="DY12" s="56"/>
      <c r="DZ12" s="56"/>
      <c r="EA12" s="56"/>
      <c r="EB12" s="56"/>
      <c r="EC12" s="56"/>
      <c r="ED12" s="56"/>
      <c r="EE12" s="56"/>
      <c r="EF12" s="56"/>
      <c r="EG12" s="56"/>
      <c r="EH12" s="56"/>
      <c r="EI12" s="56"/>
      <c r="EJ12" s="56"/>
      <c r="EK12" s="56"/>
      <c r="EL12" s="56"/>
      <c r="EM12" s="56"/>
      <c r="EN12" s="56"/>
      <c r="EO12" s="56"/>
      <c r="EP12" s="56"/>
      <c r="EQ12" s="56"/>
      <c r="ER12" s="56"/>
      <c r="ES12" s="56"/>
      <c r="ET12" s="56"/>
      <c r="EU12" s="56"/>
      <c r="EV12" s="56"/>
      <c r="EW12" s="56"/>
      <c r="EX12" s="56"/>
      <c r="EY12" s="56"/>
      <c r="EZ12" s="56"/>
      <c r="FA12" s="56"/>
      <c r="FB12" s="56"/>
      <c r="FC12" s="56"/>
      <c r="FD12" s="56"/>
      <c r="FE12" s="56"/>
      <c r="FF12" s="56"/>
      <c r="FG12" s="56"/>
      <c r="FH12" s="56"/>
      <c r="FI12" s="56"/>
      <c r="FJ12" s="56"/>
      <c r="FK12" s="56"/>
      <c r="FL12" s="56"/>
      <c r="FM12" s="56"/>
      <c r="FN12" s="56"/>
      <c r="FO12" s="56"/>
      <c r="FP12" s="56"/>
      <c r="FQ12" s="56"/>
      <c r="FR12" s="56"/>
      <c r="FS12" s="56"/>
      <c r="FT12" s="56"/>
      <c r="FU12" s="56"/>
      <c r="FV12" s="56"/>
      <c r="FW12" s="56"/>
      <c r="FX12" s="56"/>
      <c r="FY12" s="56"/>
      <c r="FZ12" s="56"/>
      <c r="GA12" s="56"/>
      <c r="GB12" s="56"/>
      <c r="GC12" s="56"/>
      <c r="GD12" s="56"/>
      <c r="GE12" s="56"/>
      <c r="GF12" s="56"/>
      <c r="GG12" s="56"/>
      <c r="GH12" s="56"/>
      <c r="GI12" s="56"/>
      <c r="GJ12" s="56"/>
      <c r="GK12" s="56"/>
      <c r="GL12" s="56"/>
      <c r="GM12" s="56"/>
      <c r="GN12" s="56"/>
      <c r="GO12" s="56"/>
      <c r="GP12" s="56"/>
      <c r="GQ12" s="56"/>
      <c r="GR12" s="56"/>
      <c r="GS12" s="56"/>
      <c r="GT12" s="56"/>
      <c r="GU12" s="56"/>
      <c r="GV12" s="56"/>
      <c r="GW12" s="56"/>
      <c r="GX12" s="56"/>
      <c r="GY12" s="56"/>
      <c r="GZ12" s="56"/>
      <c r="HA12" s="56"/>
      <c r="HB12" s="56"/>
      <c r="HC12" s="56"/>
      <c r="HD12" s="56"/>
      <c r="HE12" s="56"/>
      <c r="HF12" s="56"/>
      <c r="HG12" s="56"/>
      <c r="HH12" s="56"/>
      <c r="HI12" s="56"/>
      <c r="HJ12" s="56"/>
      <c r="HK12" s="56"/>
      <c r="HL12" s="56"/>
      <c r="HM12" s="56"/>
      <c r="HN12" s="56"/>
      <c r="HO12" s="56"/>
      <c r="HP12" s="56"/>
      <c r="HQ12" s="56"/>
      <c r="HR12" s="56"/>
      <c r="HS12" s="56"/>
      <c r="HT12" s="56"/>
      <c r="HU12" s="56"/>
      <c r="HV12" s="56"/>
      <c r="HW12" s="56"/>
      <c r="HX12" s="56"/>
      <c r="HY12" s="56"/>
      <c r="HZ12" s="56"/>
      <c r="IA12" s="56"/>
      <c r="IB12" s="56"/>
      <c r="IC12" s="56"/>
      <c r="ID12" s="56"/>
      <c r="IE12" s="56"/>
      <c r="IF12" s="56"/>
      <c r="IG12" s="56"/>
      <c r="IH12" s="56"/>
      <c r="II12" s="56"/>
      <c r="IJ12" s="56"/>
      <c r="IK12" s="56"/>
      <c r="IL12" s="56"/>
      <c r="IM12" s="56"/>
      <c r="IN12" s="56"/>
      <c r="IO12" s="56"/>
      <c r="IP12" s="56"/>
      <c r="IQ12" s="56"/>
      <c r="IR12" s="56"/>
      <c r="IS12" s="56"/>
      <c r="IT12" s="56"/>
      <c r="IU12" s="56"/>
      <c r="IV12" s="56"/>
    </row>
    <row r="13" spans="1:256" ht="67.5" customHeight="1" x14ac:dyDescent="0.25">
      <c r="A13" s="203" t="s">
        <v>219</v>
      </c>
      <c r="B13" s="203"/>
      <c r="C13" s="203"/>
      <c r="D13" s="203"/>
      <c r="E13" s="203"/>
      <c r="F13" s="203"/>
      <c r="G13" s="203"/>
      <c r="H13" s="203"/>
      <c r="I13" s="203"/>
      <c r="J13" s="58"/>
      <c r="K13" s="56"/>
      <c r="L13" s="56"/>
      <c r="M13" s="56"/>
      <c r="N13" s="56"/>
      <c r="O13" s="56"/>
      <c r="P13" s="56"/>
      <c r="Q13" s="56"/>
      <c r="R13" s="56"/>
      <c r="S13" s="56"/>
      <c r="T13" s="56"/>
      <c r="U13" s="56"/>
      <c r="V13" s="56"/>
      <c r="W13" s="56"/>
      <c r="X13" s="56"/>
      <c r="Y13" s="56"/>
      <c r="Z13" s="56"/>
      <c r="AA13" s="56"/>
      <c r="AB13" s="56"/>
      <c r="AC13" s="56"/>
      <c r="AD13" s="56"/>
      <c r="AE13" s="56"/>
      <c r="AF13" s="56"/>
      <c r="AG13" s="56"/>
      <c r="AH13" s="56"/>
      <c r="AI13" s="56"/>
      <c r="AJ13" s="56"/>
      <c r="AK13" s="56"/>
      <c r="AL13" s="56"/>
      <c r="AM13" s="56"/>
      <c r="AN13" s="56"/>
      <c r="AO13" s="56"/>
      <c r="AP13" s="56"/>
      <c r="AQ13" s="56"/>
      <c r="AR13" s="56"/>
      <c r="AS13" s="56"/>
      <c r="AT13" s="56"/>
      <c r="AU13" s="56"/>
      <c r="AV13" s="56"/>
      <c r="AW13" s="56"/>
      <c r="AX13" s="56"/>
      <c r="AY13" s="56"/>
      <c r="AZ13" s="56"/>
      <c r="BA13" s="56"/>
      <c r="BB13" s="56"/>
      <c r="BC13" s="56"/>
      <c r="BD13" s="56"/>
      <c r="BE13" s="56"/>
      <c r="BF13" s="56"/>
      <c r="BG13" s="56"/>
      <c r="BH13" s="56"/>
      <c r="BI13" s="56"/>
      <c r="BJ13" s="56"/>
      <c r="BK13" s="56"/>
      <c r="BL13" s="56"/>
      <c r="BM13" s="56"/>
      <c r="BN13" s="56"/>
      <c r="BO13" s="56"/>
      <c r="BP13" s="56"/>
      <c r="BQ13" s="56"/>
      <c r="BR13" s="56"/>
      <c r="BS13" s="56"/>
      <c r="BT13" s="56"/>
      <c r="BU13" s="56"/>
      <c r="BV13" s="56"/>
      <c r="BW13" s="56"/>
      <c r="BX13" s="56"/>
      <c r="BY13" s="56"/>
      <c r="BZ13" s="56"/>
      <c r="CA13" s="56"/>
      <c r="CB13" s="56"/>
      <c r="CC13" s="56"/>
      <c r="CD13" s="56"/>
      <c r="CE13" s="56"/>
      <c r="CF13" s="56"/>
      <c r="CG13" s="56"/>
      <c r="CH13" s="56"/>
      <c r="CI13" s="56"/>
      <c r="CJ13" s="56"/>
      <c r="CK13" s="56"/>
      <c r="CL13" s="56"/>
      <c r="CM13" s="56"/>
      <c r="CN13" s="56"/>
      <c r="CO13" s="56"/>
      <c r="CP13" s="56"/>
      <c r="CQ13" s="56"/>
      <c r="CR13" s="56"/>
      <c r="CS13" s="56"/>
      <c r="CT13" s="56"/>
      <c r="CU13" s="56"/>
      <c r="CV13" s="56"/>
      <c r="CW13" s="56"/>
      <c r="CX13" s="56"/>
      <c r="CY13" s="56"/>
      <c r="CZ13" s="56"/>
      <c r="DA13" s="56"/>
      <c r="DB13" s="56"/>
      <c r="DC13" s="56"/>
      <c r="DD13" s="56"/>
      <c r="DE13" s="56"/>
      <c r="DF13" s="56"/>
      <c r="DG13" s="56"/>
      <c r="DH13" s="56"/>
      <c r="DI13" s="56"/>
      <c r="DJ13" s="56"/>
      <c r="DK13" s="56"/>
      <c r="DL13" s="56"/>
      <c r="DM13" s="56"/>
      <c r="DN13" s="56"/>
      <c r="DO13" s="56"/>
      <c r="DP13" s="56"/>
      <c r="DQ13" s="56"/>
      <c r="DR13" s="56"/>
      <c r="DS13" s="56"/>
      <c r="DT13" s="56"/>
      <c r="DU13" s="56"/>
      <c r="DV13" s="56"/>
      <c r="DW13" s="56"/>
      <c r="DX13" s="56"/>
      <c r="DY13" s="56"/>
      <c r="DZ13" s="56"/>
      <c r="EA13" s="56"/>
      <c r="EB13" s="56"/>
      <c r="EC13" s="56"/>
      <c r="ED13" s="56"/>
      <c r="EE13" s="56"/>
      <c r="EF13" s="56"/>
      <c r="EG13" s="56"/>
      <c r="EH13" s="56"/>
      <c r="EI13" s="56"/>
      <c r="EJ13" s="56"/>
      <c r="EK13" s="56"/>
      <c r="EL13" s="56"/>
      <c r="EM13" s="56"/>
      <c r="EN13" s="56"/>
      <c r="EO13" s="56"/>
      <c r="EP13" s="56"/>
      <c r="EQ13" s="56"/>
      <c r="ER13" s="56"/>
      <c r="ES13" s="56"/>
      <c r="ET13" s="56"/>
      <c r="EU13" s="56"/>
      <c r="EV13" s="56"/>
      <c r="EW13" s="56"/>
      <c r="EX13" s="56"/>
      <c r="EY13" s="56"/>
      <c r="EZ13" s="56"/>
      <c r="FA13" s="56"/>
      <c r="FB13" s="56"/>
      <c r="FC13" s="56"/>
      <c r="FD13" s="56"/>
      <c r="FE13" s="56"/>
      <c r="FF13" s="56"/>
      <c r="FG13" s="56"/>
      <c r="FH13" s="56"/>
      <c r="FI13" s="56"/>
      <c r="FJ13" s="56"/>
      <c r="FK13" s="56"/>
      <c r="FL13" s="56"/>
      <c r="FM13" s="56"/>
      <c r="FN13" s="56"/>
      <c r="FO13" s="56"/>
      <c r="FP13" s="56"/>
      <c r="FQ13" s="56"/>
      <c r="FR13" s="56"/>
      <c r="FS13" s="56"/>
      <c r="FT13" s="56"/>
      <c r="FU13" s="56"/>
      <c r="FV13" s="56"/>
      <c r="FW13" s="56"/>
      <c r="FX13" s="56"/>
      <c r="FY13" s="56"/>
      <c r="FZ13" s="56"/>
      <c r="GA13" s="56"/>
      <c r="GB13" s="56"/>
      <c r="GC13" s="56"/>
      <c r="GD13" s="56"/>
      <c r="GE13" s="56"/>
      <c r="GF13" s="56"/>
      <c r="GG13" s="56"/>
      <c r="GH13" s="56"/>
      <c r="GI13" s="56"/>
      <c r="GJ13" s="56"/>
      <c r="GK13" s="56"/>
      <c r="GL13" s="56"/>
      <c r="GM13" s="56"/>
      <c r="GN13" s="56"/>
      <c r="GO13" s="56"/>
      <c r="GP13" s="56"/>
      <c r="GQ13" s="56"/>
      <c r="GR13" s="56"/>
      <c r="GS13" s="56"/>
      <c r="GT13" s="56"/>
      <c r="GU13" s="56"/>
      <c r="GV13" s="56"/>
      <c r="GW13" s="56"/>
      <c r="GX13" s="56"/>
      <c r="GY13" s="56"/>
      <c r="GZ13" s="56"/>
      <c r="HA13" s="56"/>
      <c r="HB13" s="56"/>
      <c r="HC13" s="56"/>
      <c r="HD13" s="56"/>
      <c r="HE13" s="56"/>
      <c r="HF13" s="56"/>
      <c r="HG13" s="56"/>
      <c r="HH13" s="56"/>
      <c r="HI13" s="56"/>
      <c r="HJ13" s="56"/>
      <c r="HK13" s="56"/>
      <c r="HL13" s="56"/>
      <c r="HM13" s="56"/>
      <c r="HN13" s="56"/>
      <c r="HO13" s="56"/>
      <c r="HP13" s="56"/>
      <c r="HQ13" s="56"/>
      <c r="HR13" s="56"/>
      <c r="HS13" s="56"/>
      <c r="HT13" s="56"/>
      <c r="HU13" s="56"/>
      <c r="HV13" s="56"/>
      <c r="HW13" s="56"/>
      <c r="HX13" s="56"/>
      <c r="HY13" s="56"/>
      <c r="HZ13" s="56"/>
      <c r="IA13" s="56"/>
      <c r="IB13" s="56"/>
      <c r="IC13" s="56"/>
      <c r="ID13" s="56"/>
      <c r="IE13" s="56"/>
      <c r="IF13" s="56"/>
      <c r="IG13" s="56"/>
      <c r="IH13" s="56"/>
      <c r="II13" s="56"/>
      <c r="IJ13" s="56"/>
      <c r="IK13" s="56"/>
      <c r="IL13" s="56"/>
      <c r="IM13" s="56"/>
      <c r="IN13" s="56"/>
      <c r="IO13" s="56"/>
      <c r="IP13" s="56"/>
      <c r="IQ13" s="56"/>
      <c r="IR13" s="56"/>
      <c r="IS13" s="56"/>
      <c r="IT13" s="56"/>
      <c r="IU13" s="56"/>
      <c r="IV13" s="56"/>
    </row>
    <row r="14" spans="1:256" ht="9.75" customHeight="1" x14ac:dyDescent="0.25">
      <c r="A14" s="59"/>
      <c r="B14" s="59"/>
      <c r="C14" s="59"/>
      <c r="D14" s="59"/>
      <c r="E14" s="59"/>
      <c r="F14" s="59"/>
      <c r="G14" s="59"/>
      <c r="H14" s="59"/>
      <c r="I14" s="59"/>
      <c r="J14" s="58"/>
      <c r="K14" s="56"/>
      <c r="L14" s="56"/>
      <c r="M14" s="56"/>
      <c r="N14" s="56"/>
      <c r="O14" s="56"/>
      <c r="P14" s="56"/>
      <c r="Q14" s="56"/>
      <c r="R14" s="56"/>
      <c r="S14" s="56"/>
      <c r="T14" s="56"/>
      <c r="U14" s="56"/>
      <c r="V14" s="56"/>
      <c r="W14" s="56"/>
      <c r="X14" s="56"/>
      <c r="Y14" s="56"/>
      <c r="Z14" s="56"/>
      <c r="AA14" s="56"/>
      <c r="AB14" s="56"/>
      <c r="AC14" s="56"/>
      <c r="AD14" s="56"/>
      <c r="AE14" s="56"/>
      <c r="AF14" s="56"/>
      <c r="AG14" s="56"/>
      <c r="AH14" s="56"/>
      <c r="AI14" s="56"/>
      <c r="AJ14" s="56"/>
      <c r="AK14" s="56"/>
      <c r="AL14" s="56"/>
      <c r="AM14" s="56"/>
      <c r="AN14" s="56"/>
      <c r="AO14" s="56"/>
      <c r="AP14" s="56"/>
      <c r="AQ14" s="56"/>
      <c r="AR14" s="56"/>
      <c r="AS14" s="56"/>
      <c r="AT14" s="56"/>
      <c r="AU14" s="56"/>
      <c r="AV14" s="56"/>
      <c r="AW14" s="56"/>
      <c r="AX14" s="56"/>
      <c r="AY14" s="56"/>
      <c r="AZ14" s="56"/>
      <c r="BA14" s="56"/>
      <c r="BB14" s="56"/>
      <c r="BC14" s="56"/>
      <c r="BD14" s="56"/>
      <c r="BE14" s="56"/>
      <c r="BF14" s="56"/>
      <c r="BG14" s="56"/>
      <c r="BH14" s="56"/>
      <c r="BI14" s="56"/>
      <c r="BJ14" s="56"/>
      <c r="BK14" s="56"/>
      <c r="BL14" s="56"/>
      <c r="BM14" s="56"/>
      <c r="BN14" s="56"/>
      <c r="BO14" s="56"/>
      <c r="BP14" s="56"/>
      <c r="BQ14" s="56"/>
      <c r="BR14" s="56"/>
      <c r="BS14" s="56"/>
      <c r="BT14" s="56"/>
      <c r="BU14" s="56"/>
      <c r="BV14" s="56"/>
      <c r="BW14" s="56"/>
      <c r="BX14" s="56"/>
      <c r="BY14" s="56"/>
      <c r="BZ14" s="56"/>
      <c r="CA14" s="56"/>
      <c r="CB14" s="56"/>
      <c r="CC14" s="56"/>
      <c r="CD14" s="56"/>
      <c r="CE14" s="56"/>
      <c r="CF14" s="56"/>
      <c r="CG14" s="56"/>
      <c r="CH14" s="56"/>
      <c r="CI14" s="56"/>
      <c r="CJ14" s="56"/>
      <c r="CK14" s="56"/>
      <c r="CL14" s="56"/>
      <c r="CM14" s="56"/>
      <c r="CN14" s="56"/>
      <c r="CO14" s="56"/>
      <c r="CP14" s="56"/>
      <c r="CQ14" s="56"/>
      <c r="CR14" s="56"/>
      <c r="CS14" s="56"/>
      <c r="CT14" s="56"/>
      <c r="CU14" s="56"/>
      <c r="CV14" s="56"/>
      <c r="CW14" s="56"/>
      <c r="CX14" s="56"/>
      <c r="CY14" s="56"/>
      <c r="CZ14" s="56"/>
      <c r="DA14" s="56"/>
      <c r="DB14" s="56"/>
      <c r="DC14" s="56"/>
      <c r="DD14" s="56"/>
      <c r="DE14" s="56"/>
      <c r="DF14" s="56"/>
      <c r="DG14" s="56"/>
      <c r="DH14" s="56"/>
      <c r="DI14" s="56"/>
      <c r="DJ14" s="56"/>
      <c r="DK14" s="56"/>
      <c r="DL14" s="56"/>
      <c r="DM14" s="56"/>
      <c r="DN14" s="56"/>
      <c r="DO14" s="56"/>
      <c r="DP14" s="56"/>
      <c r="DQ14" s="56"/>
      <c r="DR14" s="56"/>
      <c r="DS14" s="56"/>
      <c r="DT14" s="56"/>
      <c r="DU14" s="56"/>
      <c r="DV14" s="56"/>
      <c r="DW14" s="56"/>
      <c r="DX14" s="56"/>
      <c r="DY14" s="56"/>
      <c r="DZ14" s="56"/>
      <c r="EA14" s="56"/>
      <c r="EB14" s="56"/>
      <c r="EC14" s="56"/>
      <c r="ED14" s="56"/>
      <c r="EE14" s="56"/>
      <c r="EF14" s="56"/>
      <c r="EG14" s="56"/>
      <c r="EH14" s="56"/>
      <c r="EI14" s="56"/>
      <c r="EJ14" s="56"/>
      <c r="EK14" s="56"/>
      <c r="EL14" s="56"/>
      <c r="EM14" s="56"/>
      <c r="EN14" s="56"/>
      <c r="EO14" s="56"/>
      <c r="EP14" s="56"/>
      <c r="EQ14" s="56"/>
      <c r="ER14" s="56"/>
      <c r="ES14" s="56"/>
      <c r="ET14" s="56"/>
      <c r="EU14" s="56"/>
      <c r="EV14" s="56"/>
      <c r="EW14" s="56"/>
      <c r="EX14" s="56"/>
      <c r="EY14" s="56"/>
      <c r="EZ14" s="56"/>
      <c r="FA14" s="56"/>
      <c r="FB14" s="56"/>
      <c r="FC14" s="56"/>
      <c r="FD14" s="56"/>
      <c r="FE14" s="56"/>
      <c r="FF14" s="56"/>
      <c r="FG14" s="56"/>
      <c r="FH14" s="56"/>
      <c r="FI14" s="56"/>
      <c r="FJ14" s="56"/>
      <c r="FK14" s="56"/>
      <c r="FL14" s="56"/>
      <c r="FM14" s="56"/>
      <c r="FN14" s="56"/>
      <c r="FO14" s="56"/>
      <c r="FP14" s="56"/>
      <c r="FQ14" s="56"/>
      <c r="FR14" s="56"/>
      <c r="FS14" s="56"/>
      <c r="FT14" s="56"/>
      <c r="FU14" s="56"/>
      <c r="FV14" s="56"/>
      <c r="FW14" s="56"/>
      <c r="FX14" s="56"/>
      <c r="FY14" s="56"/>
      <c r="FZ14" s="56"/>
      <c r="GA14" s="56"/>
      <c r="GB14" s="56"/>
      <c r="GC14" s="56"/>
      <c r="GD14" s="56"/>
      <c r="GE14" s="56"/>
      <c r="GF14" s="56"/>
      <c r="GG14" s="56"/>
      <c r="GH14" s="56"/>
      <c r="GI14" s="56"/>
      <c r="GJ14" s="56"/>
      <c r="GK14" s="56"/>
      <c r="GL14" s="56"/>
      <c r="GM14" s="56"/>
      <c r="GN14" s="56"/>
      <c r="GO14" s="56"/>
      <c r="GP14" s="56"/>
      <c r="GQ14" s="56"/>
      <c r="GR14" s="56"/>
      <c r="GS14" s="56"/>
      <c r="GT14" s="56"/>
      <c r="GU14" s="56"/>
      <c r="GV14" s="56"/>
      <c r="GW14" s="56"/>
      <c r="GX14" s="56"/>
      <c r="GY14" s="56"/>
      <c r="GZ14" s="56"/>
      <c r="HA14" s="56"/>
      <c r="HB14" s="56"/>
      <c r="HC14" s="56"/>
      <c r="HD14" s="56"/>
      <c r="HE14" s="56"/>
      <c r="HF14" s="56"/>
      <c r="HG14" s="56"/>
      <c r="HH14" s="56"/>
      <c r="HI14" s="56"/>
      <c r="HJ14" s="56"/>
      <c r="HK14" s="56"/>
      <c r="HL14" s="56"/>
      <c r="HM14" s="56"/>
      <c r="HN14" s="56"/>
      <c r="HO14" s="56"/>
      <c r="HP14" s="56"/>
      <c r="HQ14" s="56"/>
      <c r="HR14" s="56"/>
      <c r="HS14" s="56"/>
      <c r="HT14" s="56"/>
      <c r="HU14" s="56"/>
      <c r="HV14" s="56"/>
      <c r="HW14" s="56"/>
      <c r="HX14" s="56"/>
      <c r="HY14" s="56"/>
      <c r="HZ14" s="56"/>
      <c r="IA14" s="56"/>
      <c r="IB14" s="56"/>
      <c r="IC14" s="56"/>
      <c r="ID14" s="56"/>
      <c r="IE14" s="56"/>
      <c r="IF14" s="56"/>
      <c r="IG14" s="56"/>
      <c r="IH14" s="56"/>
      <c r="II14" s="56"/>
      <c r="IJ14" s="56"/>
      <c r="IK14" s="56"/>
      <c r="IL14" s="56"/>
      <c r="IM14" s="56"/>
      <c r="IN14" s="56"/>
      <c r="IO14" s="56"/>
      <c r="IP14" s="56"/>
      <c r="IQ14" s="56"/>
      <c r="IR14" s="56"/>
      <c r="IS14" s="56"/>
      <c r="IT14" s="56"/>
      <c r="IU14" s="56"/>
      <c r="IV14" s="56"/>
    </row>
    <row r="15" spans="1:256" ht="97.5" customHeight="1" x14ac:dyDescent="0.2">
      <c r="A15" s="60" t="s">
        <v>188</v>
      </c>
      <c r="B15" s="204" t="s">
        <v>189</v>
      </c>
      <c r="C15" s="205"/>
      <c r="D15" s="204" t="s">
        <v>88</v>
      </c>
      <c r="E15" s="206"/>
      <c r="F15" s="206"/>
      <c r="G15" s="205"/>
      <c r="H15" s="61" t="s">
        <v>87</v>
      </c>
      <c r="I15" s="60" t="s">
        <v>190</v>
      </c>
    </row>
    <row r="16" spans="1:256" ht="12.75" customHeight="1" x14ac:dyDescent="0.2">
      <c r="A16" s="88" t="s">
        <v>191</v>
      </c>
      <c r="B16" s="207">
        <v>2</v>
      </c>
      <c r="C16" s="208"/>
      <c r="D16" s="207">
        <v>3</v>
      </c>
      <c r="E16" s="209"/>
      <c r="F16" s="209"/>
      <c r="G16" s="208"/>
      <c r="H16" s="62">
        <v>4</v>
      </c>
      <c r="I16" s="90">
        <v>5</v>
      </c>
    </row>
    <row r="17" spans="1:9" ht="94.5" customHeight="1" x14ac:dyDescent="0.2">
      <c r="A17" s="89" t="s">
        <v>191</v>
      </c>
      <c r="B17" s="233" t="s">
        <v>210</v>
      </c>
      <c r="C17" s="233"/>
      <c r="D17" s="234" t="s">
        <v>211</v>
      </c>
      <c r="E17" s="234"/>
      <c r="F17" s="234"/>
      <c r="G17" s="234"/>
      <c r="H17" s="85" t="s">
        <v>216</v>
      </c>
      <c r="I17" s="86">
        <f>7593.21*2.4*1.2*0.805*3.83</f>
        <v>67423.695585119989</v>
      </c>
    </row>
    <row r="18" spans="1:9" ht="126.75" customHeight="1" x14ac:dyDescent="0.2">
      <c r="A18" s="63" t="s">
        <v>200</v>
      </c>
      <c r="B18" s="210" t="s">
        <v>192</v>
      </c>
      <c r="C18" s="211"/>
      <c r="D18" s="212" t="s">
        <v>212</v>
      </c>
      <c r="E18" s="213"/>
      <c r="F18" s="213"/>
      <c r="G18" s="214"/>
      <c r="H18" s="64" t="s">
        <v>213</v>
      </c>
      <c r="I18" s="82">
        <f>(7763+42*150)*1*0.6*3.83*1.4*(1+0.1)*0.905</f>
        <v>45039.887923800001</v>
      </c>
    </row>
    <row r="19" spans="1:9" ht="15.75" customHeight="1" x14ac:dyDescent="0.2">
      <c r="A19" s="66" t="s">
        <v>193</v>
      </c>
      <c r="B19" s="215" t="s">
        <v>63</v>
      </c>
      <c r="C19" s="216"/>
      <c r="D19" s="215"/>
      <c r="E19" s="217"/>
      <c r="F19" s="217"/>
      <c r="G19" s="216"/>
      <c r="H19" s="67"/>
      <c r="I19" s="91"/>
    </row>
    <row r="20" spans="1:9" ht="25.5" customHeight="1" x14ac:dyDescent="0.2">
      <c r="A20" s="69" t="s">
        <v>193</v>
      </c>
      <c r="B20" s="218" t="s">
        <v>194</v>
      </c>
      <c r="C20" s="219"/>
      <c r="D20" s="218" t="s">
        <v>195</v>
      </c>
      <c r="E20" s="220"/>
      <c r="F20" s="220"/>
      <c r="G20" s="219"/>
      <c r="H20" s="70"/>
      <c r="I20" s="71"/>
    </row>
    <row r="21" spans="1:9" ht="38.25" customHeight="1" x14ac:dyDescent="0.2">
      <c r="A21" s="69" t="s">
        <v>193</v>
      </c>
      <c r="B21" s="218"/>
      <c r="C21" s="219"/>
      <c r="D21" s="218" t="s">
        <v>196</v>
      </c>
      <c r="E21" s="220"/>
      <c r="F21" s="220"/>
      <c r="G21" s="219"/>
      <c r="H21" s="70"/>
      <c r="I21" s="71"/>
    </row>
    <row r="22" spans="1:9" ht="25.5" customHeight="1" x14ac:dyDescent="0.2">
      <c r="A22" s="69" t="s">
        <v>193</v>
      </c>
      <c r="B22" s="218"/>
      <c r="C22" s="219"/>
      <c r="D22" s="218" t="s">
        <v>197</v>
      </c>
      <c r="E22" s="220"/>
      <c r="F22" s="220"/>
      <c r="G22" s="219"/>
      <c r="H22" s="70"/>
      <c r="I22" s="71"/>
    </row>
    <row r="23" spans="1:9" ht="25.5" customHeight="1" x14ac:dyDescent="0.2">
      <c r="A23" s="69" t="s">
        <v>193</v>
      </c>
      <c r="B23" s="218"/>
      <c r="C23" s="219"/>
      <c r="D23" s="218" t="s">
        <v>198</v>
      </c>
      <c r="E23" s="220"/>
      <c r="F23" s="220"/>
      <c r="G23" s="219"/>
      <c r="H23" s="70"/>
      <c r="I23" s="71"/>
    </row>
    <row r="24" spans="1:9" ht="77.25" customHeight="1" x14ac:dyDescent="0.2">
      <c r="A24" s="72" t="s">
        <v>193</v>
      </c>
      <c r="B24" s="221" t="s">
        <v>69</v>
      </c>
      <c r="C24" s="222"/>
      <c r="D24" s="221"/>
      <c r="E24" s="223"/>
      <c r="F24" s="223"/>
      <c r="G24" s="222"/>
      <c r="H24" s="73" t="s">
        <v>199</v>
      </c>
      <c r="I24" s="74"/>
    </row>
    <row r="25" spans="1:9" ht="103.5" customHeight="1" x14ac:dyDescent="0.2">
      <c r="A25" s="75"/>
      <c r="B25" s="235" t="s">
        <v>220</v>
      </c>
      <c r="C25" s="236"/>
      <c r="D25" s="245" t="s">
        <v>221</v>
      </c>
      <c r="E25" s="246"/>
      <c r="F25" s="246"/>
      <c r="G25" s="247"/>
      <c r="H25" s="64" t="s">
        <v>224</v>
      </c>
      <c r="I25" s="65">
        <f>(11960+0*13)*0.4*1.4*1.1*0.555*3.83</f>
        <v>15660.428784000002</v>
      </c>
    </row>
    <row r="26" spans="1:9" ht="18" customHeight="1" x14ac:dyDescent="0.2">
      <c r="A26" s="75"/>
      <c r="B26" s="215" t="s">
        <v>63</v>
      </c>
      <c r="C26" s="216"/>
      <c r="D26" s="248"/>
      <c r="E26" s="249"/>
      <c r="F26" s="249"/>
      <c r="G26" s="250"/>
      <c r="H26" s="76"/>
      <c r="I26" s="87"/>
    </row>
    <row r="27" spans="1:9" ht="28.5" customHeight="1" x14ac:dyDescent="0.2">
      <c r="A27" s="75"/>
      <c r="B27" s="230" t="s">
        <v>194</v>
      </c>
      <c r="C27" s="231"/>
      <c r="D27" s="230" t="s">
        <v>222</v>
      </c>
      <c r="E27" s="232"/>
      <c r="F27" s="232"/>
      <c r="G27" s="231"/>
      <c r="H27" s="76"/>
      <c r="I27" s="87"/>
    </row>
    <row r="28" spans="1:9" ht="39.75" customHeight="1" x14ac:dyDescent="0.2">
      <c r="A28" s="75"/>
      <c r="B28" s="240"/>
      <c r="C28" s="241"/>
      <c r="D28" s="230" t="s">
        <v>196</v>
      </c>
      <c r="E28" s="232"/>
      <c r="F28" s="232"/>
      <c r="G28" s="231"/>
      <c r="H28" s="76"/>
      <c r="I28" s="87"/>
    </row>
    <row r="29" spans="1:9" ht="27.75" customHeight="1" x14ac:dyDescent="0.2">
      <c r="A29" s="75"/>
      <c r="B29" s="240"/>
      <c r="C29" s="241"/>
      <c r="D29" s="230" t="s">
        <v>197</v>
      </c>
      <c r="E29" s="232"/>
      <c r="F29" s="232"/>
      <c r="G29" s="231"/>
      <c r="H29" s="76"/>
      <c r="I29" s="87"/>
    </row>
    <row r="30" spans="1:9" ht="25.5" customHeight="1" x14ac:dyDescent="0.2">
      <c r="A30" s="75"/>
      <c r="B30" s="240"/>
      <c r="C30" s="241"/>
      <c r="D30" s="218" t="s">
        <v>198</v>
      </c>
      <c r="E30" s="220"/>
      <c r="F30" s="220"/>
      <c r="G30" s="219"/>
      <c r="H30" s="76"/>
      <c r="I30" s="87"/>
    </row>
    <row r="31" spans="1:9" ht="54.75" customHeight="1" x14ac:dyDescent="0.2">
      <c r="A31" s="75"/>
      <c r="B31" s="221" t="s">
        <v>69</v>
      </c>
      <c r="C31" s="222"/>
      <c r="D31" s="221"/>
      <c r="E31" s="223"/>
      <c r="F31" s="223"/>
      <c r="G31" s="222"/>
      <c r="H31" s="73" t="s">
        <v>223</v>
      </c>
      <c r="I31" s="87"/>
    </row>
    <row r="32" spans="1:9" ht="106.5" customHeight="1" x14ac:dyDescent="0.2">
      <c r="A32" s="75" t="s">
        <v>201</v>
      </c>
      <c r="B32" s="235" t="s">
        <v>71</v>
      </c>
      <c r="C32" s="236"/>
      <c r="D32" s="237" t="s">
        <v>214</v>
      </c>
      <c r="E32" s="238"/>
      <c r="F32" s="238"/>
      <c r="G32" s="239"/>
      <c r="H32" s="76" t="s">
        <v>215</v>
      </c>
      <c r="I32" s="77">
        <f>(0+800*2)*1*0.5*3.83</f>
        <v>3064</v>
      </c>
    </row>
    <row r="33" spans="1:256" ht="15.75" customHeight="1" x14ac:dyDescent="0.2">
      <c r="A33" s="66" t="s">
        <v>193</v>
      </c>
      <c r="B33" s="215" t="s">
        <v>63</v>
      </c>
      <c r="C33" s="216"/>
      <c r="D33" s="215"/>
      <c r="E33" s="217"/>
      <c r="F33" s="217"/>
      <c r="G33" s="216"/>
      <c r="H33" s="67"/>
      <c r="I33" s="68"/>
    </row>
    <row r="34" spans="1:256" ht="12.75" customHeight="1" x14ac:dyDescent="0.2">
      <c r="A34" s="69" t="s">
        <v>193</v>
      </c>
      <c r="B34" s="230" t="s">
        <v>64</v>
      </c>
      <c r="C34" s="231"/>
      <c r="D34" s="230" t="s">
        <v>74</v>
      </c>
      <c r="E34" s="232"/>
      <c r="F34" s="232"/>
      <c r="G34" s="231"/>
      <c r="H34" s="70"/>
      <c r="I34" s="71"/>
    </row>
    <row r="35" spans="1:256" ht="38.25" customHeight="1" x14ac:dyDescent="0.2">
      <c r="A35" s="69" t="s">
        <v>193</v>
      </c>
      <c r="B35" s="230"/>
      <c r="C35" s="231"/>
      <c r="D35" s="230" t="s">
        <v>196</v>
      </c>
      <c r="E35" s="232"/>
      <c r="F35" s="232"/>
      <c r="G35" s="231"/>
      <c r="H35" s="70"/>
      <c r="I35" s="71"/>
    </row>
    <row r="36" spans="1:256" ht="22.5" customHeight="1" x14ac:dyDescent="0.2">
      <c r="A36" s="72" t="s">
        <v>193</v>
      </c>
      <c r="B36" s="242" t="s">
        <v>69</v>
      </c>
      <c r="C36" s="243"/>
      <c r="D36" s="242"/>
      <c r="E36" s="244"/>
      <c r="F36" s="244"/>
      <c r="G36" s="243"/>
      <c r="H36" s="73" t="s">
        <v>75</v>
      </c>
      <c r="I36" s="74"/>
    </row>
    <row r="37" spans="1:256" ht="12.75" customHeight="1" x14ac:dyDescent="0.2">
      <c r="A37" s="72" t="s">
        <v>202</v>
      </c>
      <c r="B37" s="224" t="s">
        <v>76</v>
      </c>
      <c r="C37" s="225"/>
      <c r="D37" s="224"/>
      <c r="E37" s="226"/>
      <c r="F37" s="226"/>
      <c r="G37" s="225"/>
      <c r="H37" s="78"/>
      <c r="I37" s="79">
        <f>I17+I18+I25+I32</f>
        <v>131188.01229291997</v>
      </c>
    </row>
    <row r="38" spans="1:256" ht="12.75" customHeight="1" x14ac:dyDescent="0.2">
      <c r="A38" s="80" t="s">
        <v>203</v>
      </c>
      <c r="B38" s="227" t="s">
        <v>77</v>
      </c>
      <c r="C38" s="228"/>
      <c r="D38" s="227"/>
      <c r="E38" s="229"/>
      <c r="F38" s="229"/>
      <c r="G38" s="228"/>
      <c r="H38" s="81" t="s">
        <v>217</v>
      </c>
      <c r="I38" s="82">
        <f>I37*0.1</f>
        <v>13118.801229291998</v>
      </c>
    </row>
    <row r="39" spans="1:256" ht="25.5" customHeight="1" x14ac:dyDescent="0.2">
      <c r="A39" s="80" t="s">
        <v>204</v>
      </c>
      <c r="B39" s="227" t="s">
        <v>80</v>
      </c>
      <c r="C39" s="228"/>
      <c r="D39" s="227"/>
      <c r="E39" s="229"/>
      <c r="F39" s="229"/>
      <c r="G39" s="228"/>
      <c r="H39" s="81" t="s">
        <v>79</v>
      </c>
      <c r="I39" s="82">
        <v>8474.58</v>
      </c>
    </row>
    <row r="40" spans="1:256" ht="12.75" customHeight="1" x14ac:dyDescent="0.2">
      <c r="A40" s="80" t="s">
        <v>205</v>
      </c>
      <c r="B40" s="227" t="s">
        <v>81</v>
      </c>
      <c r="C40" s="228"/>
      <c r="D40" s="227"/>
      <c r="E40" s="229"/>
      <c r="F40" s="229"/>
      <c r="G40" s="228"/>
      <c r="H40" s="81" t="s">
        <v>218</v>
      </c>
      <c r="I40" s="82">
        <f>I37+I38+I39</f>
        <v>152781.39352221196</v>
      </c>
    </row>
    <row r="41" spans="1:256" ht="12.75" customHeight="1" x14ac:dyDescent="0.2">
      <c r="A41" s="80" t="s">
        <v>206</v>
      </c>
      <c r="B41" s="227" t="s">
        <v>207</v>
      </c>
      <c r="C41" s="228"/>
      <c r="D41" s="227"/>
      <c r="E41" s="229"/>
      <c r="F41" s="229"/>
      <c r="G41" s="228"/>
      <c r="H41" s="81" t="s">
        <v>84</v>
      </c>
      <c r="I41" s="82">
        <f>ROUND(I40*18%,2)</f>
        <v>27500.65</v>
      </c>
    </row>
    <row r="42" spans="1:256" ht="12.75" customHeight="1" x14ac:dyDescent="0.2">
      <c r="A42" s="80" t="s">
        <v>208</v>
      </c>
      <c r="B42" s="224" t="s">
        <v>85</v>
      </c>
      <c r="C42" s="225"/>
      <c r="D42" s="224"/>
      <c r="E42" s="226"/>
      <c r="F42" s="226"/>
      <c r="G42" s="225"/>
      <c r="H42" s="83" t="s">
        <v>86</v>
      </c>
      <c r="I42" s="84">
        <f>I40+I41</f>
        <v>180282.04352221196</v>
      </c>
    </row>
    <row r="44" spans="1:256" ht="12.75" customHeight="1" x14ac:dyDescent="0.25">
      <c r="A44" s="52" t="s">
        <v>209</v>
      </c>
      <c r="B44" s="52"/>
      <c r="C44" s="52"/>
      <c r="D44" s="52"/>
      <c r="E44" s="52"/>
      <c r="F44" s="52"/>
      <c r="G44" s="52"/>
      <c r="H44" s="52"/>
      <c r="I44" s="52"/>
      <c r="J44" s="52"/>
      <c r="K44" s="52"/>
      <c r="L44" s="52"/>
      <c r="M44" s="52"/>
      <c r="N44" s="52"/>
      <c r="O44" s="52"/>
      <c r="P44" s="52"/>
      <c r="Q44" s="52"/>
      <c r="R44" s="52"/>
      <c r="S44" s="52"/>
      <c r="T44" s="52"/>
      <c r="U44" s="52"/>
      <c r="V44" s="52"/>
      <c r="W44" s="52"/>
      <c r="X44" s="52"/>
      <c r="Y44" s="52"/>
      <c r="Z44" s="52"/>
      <c r="AA44" s="52"/>
      <c r="AB44" s="52"/>
      <c r="AC44" s="52"/>
      <c r="AD44" s="52"/>
      <c r="AE44" s="52"/>
      <c r="AF44" s="52"/>
      <c r="AG44" s="52"/>
      <c r="AH44" s="52"/>
      <c r="AI44" s="52"/>
      <c r="AJ44" s="52"/>
      <c r="AK44" s="52"/>
      <c r="AL44" s="52"/>
      <c r="AM44" s="52"/>
      <c r="AN44" s="52"/>
      <c r="AO44" s="52"/>
      <c r="AP44" s="52"/>
      <c r="AQ44" s="52"/>
      <c r="AR44" s="52"/>
      <c r="AS44" s="52"/>
      <c r="AT44" s="52"/>
      <c r="AU44" s="52"/>
      <c r="AV44" s="52"/>
      <c r="AW44" s="52"/>
      <c r="AX44" s="52"/>
      <c r="AY44" s="52"/>
      <c r="AZ44" s="52"/>
      <c r="BA44" s="52"/>
      <c r="BB44" s="52"/>
      <c r="BC44" s="52"/>
      <c r="BD44" s="52"/>
      <c r="BE44" s="52"/>
      <c r="BF44" s="52"/>
      <c r="BG44" s="52"/>
      <c r="BH44" s="52"/>
      <c r="BI44" s="52"/>
      <c r="BJ44" s="52"/>
      <c r="BK44" s="52"/>
      <c r="BL44" s="52"/>
      <c r="BM44" s="52"/>
      <c r="BN44" s="52"/>
      <c r="BO44" s="52"/>
      <c r="BP44" s="52"/>
      <c r="BQ44" s="52"/>
      <c r="BR44" s="52"/>
      <c r="BS44" s="52"/>
      <c r="BT44" s="52"/>
      <c r="BU44" s="52"/>
      <c r="BV44" s="52"/>
      <c r="BW44" s="52"/>
      <c r="BX44" s="52"/>
      <c r="BY44" s="52"/>
      <c r="BZ44" s="52"/>
      <c r="CA44" s="52"/>
      <c r="CB44" s="52"/>
      <c r="CC44" s="52"/>
      <c r="CD44" s="52"/>
      <c r="CE44" s="52"/>
      <c r="CF44" s="52"/>
      <c r="CG44" s="52"/>
      <c r="CH44" s="52"/>
      <c r="CI44" s="52"/>
      <c r="CJ44" s="52"/>
      <c r="CK44" s="52"/>
      <c r="CL44" s="52"/>
      <c r="CM44" s="52"/>
      <c r="CN44" s="52"/>
      <c r="CO44" s="52"/>
      <c r="CP44" s="52"/>
      <c r="CQ44" s="52"/>
      <c r="CR44" s="52"/>
      <c r="CS44" s="52"/>
      <c r="CT44" s="52"/>
      <c r="CU44" s="52"/>
      <c r="CV44" s="52"/>
      <c r="CW44" s="52"/>
      <c r="CX44" s="52"/>
      <c r="CY44" s="52"/>
      <c r="CZ44" s="52"/>
      <c r="DA44" s="52"/>
      <c r="DB44" s="52"/>
      <c r="DC44" s="52"/>
      <c r="DD44" s="52"/>
      <c r="DE44" s="52"/>
      <c r="DF44" s="52"/>
      <c r="DG44" s="52"/>
      <c r="DH44" s="52"/>
      <c r="DI44" s="52"/>
      <c r="DJ44" s="52"/>
      <c r="DK44" s="52"/>
      <c r="DL44" s="52"/>
      <c r="DM44" s="52"/>
      <c r="DN44" s="52"/>
      <c r="DO44" s="52"/>
      <c r="DP44" s="52"/>
      <c r="DQ44" s="52"/>
      <c r="DR44" s="52"/>
      <c r="DS44" s="52"/>
      <c r="DT44" s="52"/>
      <c r="DU44" s="52"/>
      <c r="DV44" s="52"/>
      <c r="DW44" s="52"/>
      <c r="DX44" s="52"/>
      <c r="DY44" s="52"/>
      <c r="DZ44" s="52"/>
      <c r="EA44" s="52"/>
      <c r="EB44" s="52"/>
      <c r="EC44" s="52"/>
      <c r="ED44" s="52"/>
      <c r="EE44" s="52"/>
      <c r="EF44" s="52"/>
      <c r="EG44" s="52"/>
      <c r="EH44" s="52"/>
      <c r="EI44" s="52"/>
      <c r="EJ44" s="52"/>
      <c r="EK44" s="52"/>
      <c r="EL44" s="52"/>
      <c r="EM44" s="52"/>
      <c r="EN44" s="52"/>
      <c r="EO44" s="52"/>
      <c r="EP44" s="52"/>
      <c r="EQ44" s="52"/>
      <c r="ER44" s="52"/>
      <c r="ES44" s="52"/>
      <c r="ET44" s="52"/>
      <c r="EU44" s="52"/>
      <c r="EV44" s="52"/>
      <c r="EW44" s="52"/>
      <c r="EX44" s="52"/>
      <c r="EY44" s="52"/>
      <c r="EZ44" s="52"/>
      <c r="FA44" s="52"/>
      <c r="FB44" s="52"/>
      <c r="FC44" s="52"/>
      <c r="FD44" s="52"/>
      <c r="FE44" s="52"/>
      <c r="FF44" s="52"/>
      <c r="FG44" s="52"/>
      <c r="FH44" s="52"/>
      <c r="FI44" s="52"/>
      <c r="FJ44" s="52"/>
      <c r="FK44" s="52"/>
      <c r="FL44" s="52"/>
      <c r="FM44" s="52"/>
      <c r="FN44" s="52"/>
      <c r="FO44" s="52"/>
      <c r="FP44" s="52"/>
      <c r="FQ44" s="52"/>
      <c r="FR44" s="52"/>
      <c r="FS44" s="52"/>
      <c r="FT44" s="52"/>
      <c r="FU44" s="52"/>
      <c r="FV44" s="52"/>
      <c r="FW44" s="52"/>
      <c r="FX44" s="52"/>
      <c r="FY44" s="52"/>
      <c r="FZ44" s="52"/>
      <c r="GA44" s="52"/>
      <c r="GB44" s="52"/>
      <c r="GC44" s="52"/>
      <c r="GD44" s="52"/>
      <c r="GE44" s="52"/>
      <c r="GF44" s="52"/>
      <c r="GG44" s="52"/>
      <c r="GH44" s="52"/>
      <c r="GI44" s="52"/>
      <c r="GJ44" s="52"/>
      <c r="GK44" s="52"/>
      <c r="GL44" s="52"/>
      <c r="GM44" s="52"/>
      <c r="GN44" s="52"/>
      <c r="GO44" s="52"/>
      <c r="GP44" s="52"/>
      <c r="GQ44" s="52"/>
      <c r="GR44" s="52"/>
      <c r="GS44" s="52"/>
      <c r="GT44" s="52"/>
      <c r="GU44" s="52"/>
      <c r="GV44" s="52"/>
      <c r="GW44" s="52"/>
      <c r="GX44" s="52"/>
      <c r="GY44" s="52"/>
      <c r="GZ44" s="52"/>
      <c r="HA44" s="52"/>
      <c r="HB44" s="52"/>
      <c r="HC44" s="52"/>
      <c r="HD44" s="52"/>
      <c r="HE44" s="52"/>
      <c r="HF44" s="52"/>
      <c r="HG44" s="52"/>
      <c r="HH44" s="52"/>
      <c r="HI44" s="52"/>
      <c r="HJ44" s="52"/>
      <c r="HK44" s="52"/>
      <c r="HL44" s="52"/>
      <c r="HM44" s="52"/>
      <c r="HN44" s="52"/>
      <c r="HO44" s="52"/>
      <c r="HP44" s="52"/>
      <c r="HQ44" s="52"/>
      <c r="HR44" s="52"/>
      <c r="HS44" s="52"/>
      <c r="HT44" s="52"/>
      <c r="HU44" s="52"/>
      <c r="HV44" s="52"/>
      <c r="HW44" s="52"/>
      <c r="HX44" s="52"/>
      <c r="HY44" s="52"/>
      <c r="HZ44" s="52"/>
      <c r="IA44" s="52"/>
      <c r="IB44" s="52"/>
      <c r="IC44" s="52"/>
      <c r="ID44" s="52"/>
      <c r="IE44" s="52"/>
      <c r="IF44" s="52"/>
      <c r="IG44" s="52"/>
      <c r="IH44" s="52"/>
      <c r="II44" s="52"/>
      <c r="IJ44" s="52"/>
      <c r="IK44" s="52"/>
      <c r="IL44" s="52"/>
      <c r="IM44" s="52"/>
      <c r="IN44" s="52"/>
      <c r="IO44" s="52"/>
      <c r="IP44" s="52"/>
      <c r="IQ44" s="52"/>
      <c r="IR44" s="52"/>
      <c r="IS44" s="52"/>
      <c r="IT44" s="52"/>
      <c r="IU44" s="52"/>
      <c r="IV44" s="52"/>
    </row>
    <row r="45" spans="1:256" ht="13.5" customHeight="1" x14ac:dyDescent="0.25">
      <c r="A45" s="1" t="s">
        <v>27</v>
      </c>
      <c r="B45" s="1"/>
      <c r="C45" s="1"/>
      <c r="D45" s="52"/>
      <c r="E45" s="52"/>
      <c r="F45" s="52"/>
      <c r="G45" s="52"/>
      <c r="H45" s="52"/>
      <c r="I45" s="52"/>
      <c r="J45" s="52"/>
      <c r="K45" s="52"/>
      <c r="L45" s="52"/>
      <c r="M45" s="52"/>
      <c r="N45" s="52"/>
      <c r="O45" s="52"/>
      <c r="P45" s="52"/>
      <c r="Q45" s="52"/>
      <c r="R45" s="52"/>
      <c r="S45" s="52"/>
      <c r="T45" s="52"/>
      <c r="U45" s="52"/>
      <c r="V45" s="52"/>
      <c r="W45" s="52"/>
      <c r="X45" s="52"/>
      <c r="Y45" s="52"/>
      <c r="Z45" s="52"/>
      <c r="AA45" s="52"/>
      <c r="AB45" s="52"/>
      <c r="AC45" s="52"/>
      <c r="AD45" s="52"/>
      <c r="AE45" s="52"/>
      <c r="AF45" s="52"/>
      <c r="AG45" s="52"/>
      <c r="AH45" s="52"/>
      <c r="AI45" s="52"/>
      <c r="AJ45" s="52"/>
      <c r="AK45" s="52"/>
      <c r="AL45" s="52"/>
      <c r="AM45" s="52"/>
      <c r="AN45" s="52"/>
      <c r="AO45" s="52"/>
      <c r="AP45" s="52"/>
      <c r="AQ45" s="52"/>
      <c r="AR45" s="52"/>
      <c r="AS45" s="52"/>
      <c r="AT45" s="52"/>
      <c r="AU45" s="52"/>
      <c r="AV45" s="52"/>
      <c r="AW45" s="52"/>
      <c r="AX45" s="52"/>
      <c r="AY45" s="52"/>
      <c r="AZ45" s="52"/>
      <c r="BA45" s="52"/>
      <c r="BB45" s="52"/>
      <c r="BC45" s="52"/>
      <c r="BD45" s="52"/>
      <c r="BE45" s="52"/>
      <c r="BF45" s="52"/>
      <c r="BG45" s="52"/>
      <c r="BH45" s="52"/>
      <c r="BI45" s="52"/>
      <c r="BJ45" s="52"/>
      <c r="BK45" s="52"/>
      <c r="BL45" s="52"/>
      <c r="BM45" s="52"/>
      <c r="BN45" s="52"/>
      <c r="BO45" s="52"/>
      <c r="BP45" s="52"/>
      <c r="BQ45" s="52"/>
      <c r="BR45" s="52"/>
      <c r="BS45" s="52"/>
      <c r="BT45" s="52"/>
      <c r="BU45" s="52"/>
      <c r="BV45" s="52"/>
      <c r="BW45" s="52"/>
      <c r="BX45" s="52"/>
      <c r="BY45" s="52"/>
      <c r="BZ45" s="52"/>
      <c r="CA45" s="52"/>
      <c r="CB45" s="52"/>
      <c r="CC45" s="52"/>
      <c r="CD45" s="52"/>
      <c r="CE45" s="52"/>
      <c r="CF45" s="52"/>
      <c r="CG45" s="52"/>
      <c r="CH45" s="52"/>
      <c r="CI45" s="52"/>
      <c r="CJ45" s="52"/>
      <c r="CK45" s="52"/>
      <c r="CL45" s="52"/>
      <c r="CM45" s="52"/>
      <c r="CN45" s="52"/>
      <c r="CO45" s="52"/>
      <c r="CP45" s="52"/>
      <c r="CQ45" s="52"/>
      <c r="CR45" s="52"/>
      <c r="CS45" s="52"/>
      <c r="CT45" s="52"/>
      <c r="CU45" s="52"/>
      <c r="CV45" s="52"/>
      <c r="CW45" s="52"/>
      <c r="CX45" s="52"/>
      <c r="CY45" s="52"/>
      <c r="CZ45" s="52"/>
      <c r="DA45" s="52"/>
      <c r="DB45" s="52"/>
      <c r="DC45" s="52"/>
      <c r="DD45" s="52"/>
      <c r="DE45" s="52"/>
      <c r="DF45" s="52"/>
      <c r="DG45" s="52"/>
      <c r="DH45" s="52"/>
      <c r="DI45" s="52"/>
      <c r="DJ45" s="52"/>
      <c r="DK45" s="52"/>
      <c r="DL45" s="52"/>
      <c r="DM45" s="52"/>
      <c r="DN45" s="52"/>
      <c r="DO45" s="52"/>
      <c r="DP45" s="52"/>
      <c r="DQ45" s="52"/>
      <c r="DR45" s="52"/>
      <c r="DS45" s="52"/>
      <c r="DT45" s="52"/>
      <c r="DU45" s="52"/>
      <c r="DV45" s="52"/>
      <c r="DW45" s="52"/>
      <c r="DX45" s="52"/>
      <c r="DY45" s="52"/>
      <c r="DZ45" s="52"/>
      <c r="EA45" s="52"/>
      <c r="EB45" s="52"/>
      <c r="EC45" s="52"/>
      <c r="ED45" s="52"/>
      <c r="EE45" s="52"/>
      <c r="EF45" s="52"/>
      <c r="EG45" s="52"/>
      <c r="EH45" s="52"/>
      <c r="EI45" s="52"/>
      <c r="EJ45" s="52"/>
      <c r="EK45" s="52"/>
      <c r="EL45" s="52"/>
      <c r="EM45" s="52"/>
      <c r="EN45" s="52"/>
      <c r="EO45" s="52"/>
      <c r="EP45" s="52"/>
      <c r="EQ45" s="52"/>
      <c r="ER45" s="52"/>
      <c r="ES45" s="52"/>
      <c r="ET45" s="52"/>
      <c r="EU45" s="52"/>
      <c r="EV45" s="52"/>
      <c r="EW45" s="52"/>
      <c r="EX45" s="52"/>
      <c r="EY45" s="52"/>
      <c r="EZ45" s="52"/>
      <c r="FA45" s="52"/>
      <c r="FB45" s="52"/>
      <c r="FC45" s="52"/>
      <c r="FD45" s="52"/>
      <c r="FE45" s="52"/>
      <c r="FF45" s="52"/>
      <c r="FG45" s="52"/>
      <c r="FH45" s="52"/>
      <c r="FI45" s="52"/>
      <c r="FJ45" s="52"/>
      <c r="FK45" s="52"/>
      <c r="FL45" s="52"/>
      <c r="FM45" s="52"/>
      <c r="FN45" s="52"/>
      <c r="FO45" s="52"/>
      <c r="FP45" s="52"/>
      <c r="FQ45" s="52"/>
      <c r="FR45" s="52"/>
      <c r="FS45" s="52"/>
      <c r="FT45" s="52"/>
      <c r="FU45" s="52"/>
      <c r="FV45" s="52"/>
      <c r="FW45" s="52"/>
      <c r="FX45" s="52"/>
      <c r="FY45" s="52"/>
      <c r="FZ45" s="52"/>
      <c r="GA45" s="52"/>
      <c r="GB45" s="52"/>
      <c r="GC45" s="52"/>
      <c r="GD45" s="52"/>
      <c r="GE45" s="52"/>
      <c r="GF45" s="52"/>
      <c r="GG45" s="52"/>
      <c r="GH45" s="52"/>
      <c r="GI45" s="52"/>
      <c r="GJ45" s="52"/>
      <c r="GK45" s="52"/>
      <c r="GL45" s="52"/>
      <c r="GM45" s="52"/>
      <c r="GN45" s="52"/>
      <c r="GO45" s="52"/>
      <c r="GP45" s="52"/>
      <c r="GQ45" s="52"/>
      <c r="GR45" s="52"/>
      <c r="GS45" s="52"/>
      <c r="GT45" s="52"/>
      <c r="GU45" s="52"/>
      <c r="GV45" s="52"/>
      <c r="GW45" s="52"/>
      <c r="GX45" s="52"/>
      <c r="GY45" s="52"/>
      <c r="GZ45" s="52"/>
      <c r="HA45" s="52"/>
      <c r="HB45" s="52"/>
      <c r="HC45" s="52"/>
      <c r="HD45" s="52"/>
      <c r="HE45" s="52"/>
      <c r="HF45" s="52"/>
      <c r="HG45" s="52"/>
      <c r="HH45" s="52"/>
      <c r="HI45" s="52"/>
      <c r="HJ45" s="52"/>
      <c r="HK45" s="52"/>
      <c r="HL45" s="52"/>
      <c r="HM45" s="52"/>
      <c r="HN45" s="52"/>
      <c r="HO45" s="52"/>
      <c r="HP45" s="52"/>
      <c r="HQ45" s="52"/>
      <c r="HR45" s="52"/>
      <c r="HS45" s="52"/>
      <c r="HT45" s="52"/>
      <c r="HU45" s="52"/>
      <c r="HV45" s="52"/>
      <c r="HW45" s="52"/>
      <c r="HX45" s="52"/>
      <c r="HY45" s="52"/>
      <c r="HZ45" s="52"/>
      <c r="IA45" s="52"/>
      <c r="IB45" s="52"/>
      <c r="IC45" s="52"/>
      <c r="ID45" s="52"/>
      <c r="IE45" s="52"/>
      <c r="IF45" s="52"/>
      <c r="IG45" s="52"/>
      <c r="IH45" s="52"/>
      <c r="II45" s="52"/>
      <c r="IJ45" s="52"/>
      <c r="IK45" s="52"/>
      <c r="IL45" s="52"/>
      <c r="IM45" s="52"/>
      <c r="IN45" s="52"/>
      <c r="IO45" s="52"/>
      <c r="IP45" s="52"/>
      <c r="IQ45" s="52"/>
      <c r="IR45" s="52"/>
      <c r="IS45" s="52"/>
      <c r="IT45" s="52"/>
      <c r="IU45" s="52"/>
      <c r="IV45" s="52"/>
    </row>
    <row r="46" spans="1:256" ht="18" customHeight="1" x14ac:dyDescent="0.25">
      <c r="A46" s="1" t="s">
        <v>130</v>
      </c>
      <c r="B46" s="1"/>
      <c r="C46" s="1"/>
      <c r="D46" s="52"/>
      <c r="E46" s="52"/>
      <c r="F46" s="52"/>
      <c r="G46" s="52"/>
      <c r="H46" s="52"/>
      <c r="I46" s="52"/>
      <c r="J46" s="52"/>
      <c r="K46" s="52"/>
      <c r="L46" s="52"/>
      <c r="M46" s="52"/>
      <c r="N46" s="52"/>
      <c r="O46" s="52"/>
      <c r="P46" s="52"/>
      <c r="Q46" s="52"/>
      <c r="R46" s="52"/>
      <c r="S46" s="52"/>
      <c r="T46" s="52"/>
      <c r="U46" s="52"/>
      <c r="V46" s="52"/>
      <c r="W46" s="52"/>
      <c r="X46" s="52"/>
      <c r="Y46" s="52"/>
      <c r="Z46" s="52"/>
      <c r="AA46" s="52"/>
      <c r="AB46" s="52"/>
      <c r="AC46" s="52"/>
      <c r="AD46" s="52"/>
      <c r="AE46" s="52"/>
      <c r="AF46" s="52"/>
      <c r="AG46" s="52"/>
      <c r="AH46" s="52"/>
      <c r="AI46" s="52"/>
      <c r="AJ46" s="52"/>
      <c r="AK46" s="52"/>
      <c r="AL46" s="52"/>
      <c r="AM46" s="52"/>
      <c r="AN46" s="52"/>
      <c r="AO46" s="52"/>
      <c r="AP46" s="52"/>
      <c r="AQ46" s="52"/>
      <c r="AR46" s="52"/>
      <c r="AS46" s="52"/>
      <c r="AT46" s="52"/>
      <c r="AU46" s="52"/>
      <c r="AV46" s="52"/>
      <c r="AW46" s="52"/>
      <c r="AX46" s="52"/>
      <c r="AY46" s="52"/>
      <c r="AZ46" s="52"/>
      <c r="BA46" s="52"/>
      <c r="BB46" s="52"/>
      <c r="BC46" s="52"/>
      <c r="BD46" s="52"/>
      <c r="BE46" s="52"/>
      <c r="BF46" s="52"/>
      <c r="BG46" s="52"/>
      <c r="BH46" s="52"/>
      <c r="BI46" s="52"/>
      <c r="BJ46" s="52"/>
      <c r="BK46" s="52"/>
      <c r="BL46" s="52"/>
      <c r="BM46" s="52"/>
      <c r="BN46" s="52"/>
      <c r="BO46" s="52"/>
      <c r="BP46" s="52"/>
      <c r="BQ46" s="52"/>
      <c r="BR46" s="52"/>
      <c r="BS46" s="52"/>
      <c r="BT46" s="52"/>
      <c r="BU46" s="52"/>
      <c r="BV46" s="52"/>
      <c r="BW46" s="52"/>
      <c r="BX46" s="52"/>
      <c r="BY46" s="52"/>
      <c r="BZ46" s="52"/>
      <c r="CA46" s="52"/>
      <c r="CB46" s="52"/>
      <c r="CC46" s="52"/>
      <c r="CD46" s="52"/>
      <c r="CE46" s="52"/>
      <c r="CF46" s="52"/>
      <c r="CG46" s="52"/>
      <c r="CH46" s="52"/>
      <c r="CI46" s="52"/>
      <c r="CJ46" s="52"/>
      <c r="CK46" s="52"/>
      <c r="CL46" s="52"/>
      <c r="CM46" s="52"/>
      <c r="CN46" s="52"/>
      <c r="CO46" s="52"/>
      <c r="CP46" s="52"/>
      <c r="CQ46" s="52"/>
      <c r="CR46" s="52"/>
      <c r="CS46" s="52"/>
      <c r="CT46" s="52"/>
      <c r="CU46" s="52"/>
      <c r="CV46" s="52"/>
      <c r="CW46" s="52"/>
      <c r="CX46" s="52"/>
      <c r="CY46" s="52"/>
      <c r="CZ46" s="52"/>
      <c r="DA46" s="52"/>
      <c r="DB46" s="52"/>
      <c r="DC46" s="52"/>
      <c r="DD46" s="52"/>
      <c r="DE46" s="52"/>
      <c r="DF46" s="52"/>
      <c r="DG46" s="52"/>
      <c r="DH46" s="52"/>
      <c r="DI46" s="52"/>
      <c r="DJ46" s="52"/>
      <c r="DK46" s="52"/>
      <c r="DL46" s="52"/>
      <c r="DM46" s="52"/>
      <c r="DN46" s="52"/>
      <c r="DO46" s="52"/>
      <c r="DP46" s="52"/>
      <c r="DQ46" s="52"/>
      <c r="DR46" s="52"/>
      <c r="DS46" s="52"/>
      <c r="DT46" s="52"/>
      <c r="DU46" s="52"/>
      <c r="DV46" s="52"/>
      <c r="DW46" s="52"/>
      <c r="DX46" s="52"/>
      <c r="DY46" s="52"/>
      <c r="DZ46" s="52"/>
      <c r="EA46" s="52"/>
      <c r="EB46" s="52"/>
      <c r="EC46" s="52"/>
      <c r="ED46" s="52"/>
      <c r="EE46" s="52"/>
      <c r="EF46" s="52"/>
      <c r="EG46" s="52"/>
      <c r="EH46" s="52"/>
      <c r="EI46" s="52"/>
      <c r="EJ46" s="52"/>
      <c r="EK46" s="52"/>
      <c r="EL46" s="52"/>
      <c r="EM46" s="52"/>
      <c r="EN46" s="52"/>
      <c r="EO46" s="52"/>
      <c r="EP46" s="52"/>
      <c r="EQ46" s="52"/>
      <c r="ER46" s="52"/>
      <c r="ES46" s="52"/>
      <c r="ET46" s="52"/>
      <c r="EU46" s="52"/>
      <c r="EV46" s="52"/>
      <c r="EW46" s="52"/>
      <c r="EX46" s="52"/>
      <c r="EY46" s="52"/>
      <c r="EZ46" s="52"/>
      <c r="FA46" s="52"/>
      <c r="FB46" s="52"/>
      <c r="FC46" s="52"/>
      <c r="FD46" s="52"/>
      <c r="FE46" s="52"/>
      <c r="FF46" s="52"/>
      <c r="FG46" s="52"/>
      <c r="FH46" s="52"/>
      <c r="FI46" s="52"/>
      <c r="FJ46" s="52"/>
      <c r="FK46" s="52"/>
      <c r="FL46" s="52"/>
      <c r="FM46" s="52"/>
      <c r="FN46" s="52"/>
      <c r="FO46" s="52"/>
      <c r="FP46" s="52"/>
      <c r="FQ46" s="52"/>
      <c r="FR46" s="52"/>
      <c r="FS46" s="52"/>
      <c r="FT46" s="52"/>
      <c r="FU46" s="52"/>
      <c r="FV46" s="52"/>
      <c r="FW46" s="52"/>
      <c r="FX46" s="52"/>
      <c r="FY46" s="52"/>
      <c r="FZ46" s="52"/>
      <c r="GA46" s="52"/>
      <c r="GB46" s="52"/>
      <c r="GC46" s="52"/>
      <c r="GD46" s="52"/>
      <c r="GE46" s="52"/>
      <c r="GF46" s="52"/>
      <c r="GG46" s="52"/>
      <c r="GH46" s="52"/>
      <c r="GI46" s="52"/>
      <c r="GJ46" s="52"/>
      <c r="GK46" s="52"/>
      <c r="GL46" s="52"/>
      <c r="GM46" s="52"/>
      <c r="GN46" s="52"/>
      <c r="GO46" s="52"/>
      <c r="GP46" s="52"/>
      <c r="GQ46" s="52"/>
      <c r="GR46" s="52"/>
      <c r="GS46" s="52"/>
      <c r="GT46" s="52"/>
      <c r="GU46" s="52"/>
      <c r="GV46" s="52"/>
      <c r="GW46" s="52"/>
      <c r="GX46" s="52"/>
      <c r="GY46" s="52"/>
      <c r="GZ46" s="52"/>
      <c r="HA46" s="52"/>
      <c r="HB46" s="52"/>
      <c r="HC46" s="52"/>
      <c r="HD46" s="52"/>
      <c r="HE46" s="52"/>
      <c r="HF46" s="52"/>
      <c r="HG46" s="52"/>
      <c r="HH46" s="52"/>
      <c r="HI46" s="52"/>
      <c r="HJ46" s="52"/>
      <c r="HK46" s="52"/>
      <c r="HL46" s="52"/>
      <c r="HM46" s="52"/>
      <c r="HN46" s="52"/>
      <c r="HO46" s="52"/>
      <c r="HP46" s="52"/>
      <c r="HQ46" s="52"/>
      <c r="HR46" s="52"/>
      <c r="HS46" s="52"/>
      <c r="HT46" s="52"/>
      <c r="HU46" s="52"/>
      <c r="HV46" s="52"/>
      <c r="HW46" s="52"/>
      <c r="HX46" s="52"/>
      <c r="HY46" s="52"/>
      <c r="HZ46" s="52"/>
      <c r="IA46" s="52"/>
      <c r="IB46" s="52"/>
      <c r="IC46" s="52"/>
      <c r="ID46" s="52"/>
      <c r="IE46" s="52"/>
      <c r="IF46" s="52"/>
      <c r="IG46" s="52"/>
      <c r="IH46" s="52"/>
      <c r="II46" s="52"/>
      <c r="IJ46" s="52"/>
      <c r="IK46" s="52"/>
      <c r="IL46" s="52"/>
      <c r="IM46" s="52"/>
      <c r="IN46" s="52"/>
      <c r="IO46" s="52"/>
      <c r="IP46" s="52"/>
      <c r="IQ46" s="52"/>
      <c r="IR46" s="52"/>
      <c r="IS46" s="52"/>
      <c r="IT46" s="52"/>
      <c r="IU46" s="52"/>
      <c r="IV46" s="52"/>
    </row>
    <row r="47" spans="1:256" ht="18.75" customHeight="1" x14ac:dyDescent="0.25">
      <c r="A47" s="2" t="s">
        <v>28</v>
      </c>
      <c r="B47" s="52"/>
      <c r="C47" s="52"/>
      <c r="D47" s="52"/>
      <c r="E47" s="52"/>
      <c r="F47" s="52"/>
      <c r="G47" s="52"/>
      <c r="H47" s="52"/>
      <c r="I47" s="52"/>
      <c r="J47" s="52"/>
      <c r="K47" s="52"/>
      <c r="L47" s="52"/>
      <c r="M47" s="52"/>
      <c r="N47" s="52"/>
      <c r="O47" s="52"/>
      <c r="P47" s="52"/>
      <c r="Q47" s="52"/>
      <c r="R47" s="52"/>
      <c r="S47" s="52"/>
      <c r="T47" s="52"/>
      <c r="U47" s="52"/>
      <c r="V47" s="52"/>
      <c r="W47" s="52"/>
      <c r="X47" s="52"/>
      <c r="Y47" s="52"/>
      <c r="Z47" s="52"/>
      <c r="AA47" s="52"/>
      <c r="AB47" s="52"/>
      <c r="AC47" s="52"/>
      <c r="AD47" s="52"/>
      <c r="AE47" s="52"/>
      <c r="AF47" s="52"/>
      <c r="AG47" s="52"/>
      <c r="AH47" s="52"/>
      <c r="AI47" s="52"/>
      <c r="AJ47" s="52"/>
      <c r="AK47" s="52"/>
      <c r="AL47" s="52"/>
      <c r="AM47" s="52"/>
      <c r="AN47" s="52"/>
      <c r="AO47" s="52"/>
      <c r="AP47" s="52"/>
      <c r="AQ47" s="52"/>
      <c r="AR47" s="52"/>
      <c r="AS47" s="52"/>
      <c r="AT47" s="52"/>
      <c r="AU47" s="52"/>
      <c r="AV47" s="52"/>
      <c r="AW47" s="52"/>
      <c r="AX47" s="52"/>
      <c r="AY47" s="52"/>
      <c r="AZ47" s="52"/>
      <c r="BA47" s="52"/>
      <c r="BB47" s="52"/>
      <c r="BC47" s="52"/>
      <c r="BD47" s="52"/>
      <c r="BE47" s="52"/>
      <c r="BF47" s="52"/>
      <c r="BG47" s="52"/>
      <c r="BH47" s="52"/>
      <c r="BI47" s="52"/>
      <c r="BJ47" s="52"/>
      <c r="BK47" s="52"/>
      <c r="BL47" s="52"/>
      <c r="BM47" s="52"/>
      <c r="BN47" s="52"/>
      <c r="BO47" s="52"/>
      <c r="BP47" s="52"/>
      <c r="BQ47" s="52"/>
      <c r="BR47" s="52"/>
      <c r="BS47" s="52"/>
      <c r="BT47" s="52"/>
      <c r="BU47" s="52"/>
      <c r="BV47" s="52"/>
      <c r="BW47" s="52"/>
      <c r="BX47" s="52"/>
      <c r="BY47" s="52"/>
      <c r="BZ47" s="52"/>
      <c r="CA47" s="52"/>
      <c r="CB47" s="52"/>
      <c r="CC47" s="52"/>
      <c r="CD47" s="52"/>
      <c r="CE47" s="52"/>
      <c r="CF47" s="52"/>
      <c r="CG47" s="52"/>
      <c r="CH47" s="52"/>
      <c r="CI47" s="52"/>
      <c r="CJ47" s="52"/>
      <c r="CK47" s="52"/>
      <c r="CL47" s="52"/>
      <c r="CM47" s="52"/>
      <c r="CN47" s="52"/>
      <c r="CO47" s="52"/>
      <c r="CP47" s="52"/>
      <c r="CQ47" s="52"/>
      <c r="CR47" s="52"/>
      <c r="CS47" s="52"/>
      <c r="CT47" s="52"/>
      <c r="CU47" s="52"/>
      <c r="CV47" s="52"/>
      <c r="CW47" s="52"/>
      <c r="CX47" s="52"/>
      <c r="CY47" s="52"/>
      <c r="CZ47" s="52"/>
      <c r="DA47" s="52"/>
      <c r="DB47" s="52"/>
      <c r="DC47" s="52"/>
      <c r="DD47" s="52"/>
      <c r="DE47" s="52"/>
      <c r="DF47" s="52"/>
      <c r="DG47" s="52"/>
      <c r="DH47" s="52"/>
      <c r="DI47" s="52"/>
      <c r="DJ47" s="52"/>
      <c r="DK47" s="52"/>
      <c r="DL47" s="52"/>
      <c r="DM47" s="52"/>
      <c r="DN47" s="52"/>
      <c r="DO47" s="52"/>
      <c r="DP47" s="52"/>
      <c r="DQ47" s="52"/>
      <c r="DR47" s="52"/>
      <c r="DS47" s="52"/>
      <c r="DT47" s="52"/>
      <c r="DU47" s="52"/>
      <c r="DV47" s="52"/>
      <c r="DW47" s="52"/>
      <c r="DX47" s="52"/>
      <c r="DY47" s="52"/>
      <c r="DZ47" s="52"/>
      <c r="EA47" s="52"/>
      <c r="EB47" s="52"/>
      <c r="EC47" s="52"/>
      <c r="ED47" s="52"/>
      <c r="EE47" s="52"/>
      <c r="EF47" s="52"/>
      <c r="EG47" s="52"/>
      <c r="EH47" s="52"/>
      <c r="EI47" s="52"/>
      <c r="EJ47" s="52"/>
      <c r="EK47" s="52"/>
      <c r="EL47" s="52"/>
      <c r="EM47" s="52"/>
      <c r="EN47" s="52"/>
      <c r="EO47" s="52"/>
      <c r="EP47" s="52"/>
      <c r="EQ47" s="52"/>
      <c r="ER47" s="52"/>
      <c r="ES47" s="52"/>
      <c r="ET47" s="52"/>
      <c r="EU47" s="52"/>
      <c r="EV47" s="52"/>
      <c r="EW47" s="52"/>
      <c r="EX47" s="52"/>
      <c r="EY47" s="52"/>
      <c r="EZ47" s="52"/>
      <c r="FA47" s="52"/>
      <c r="FB47" s="52"/>
      <c r="FC47" s="52"/>
      <c r="FD47" s="52"/>
      <c r="FE47" s="52"/>
      <c r="FF47" s="52"/>
      <c r="FG47" s="52"/>
      <c r="FH47" s="52"/>
      <c r="FI47" s="52"/>
      <c r="FJ47" s="52"/>
      <c r="FK47" s="52"/>
      <c r="FL47" s="52"/>
      <c r="FM47" s="52"/>
      <c r="FN47" s="52"/>
      <c r="FO47" s="52"/>
      <c r="FP47" s="52"/>
      <c r="FQ47" s="52"/>
      <c r="FR47" s="52"/>
      <c r="FS47" s="52"/>
      <c r="FT47" s="52"/>
      <c r="FU47" s="52"/>
      <c r="FV47" s="52"/>
      <c r="FW47" s="52"/>
      <c r="FX47" s="52"/>
      <c r="FY47" s="52"/>
      <c r="FZ47" s="52"/>
      <c r="GA47" s="52"/>
      <c r="GB47" s="52"/>
      <c r="GC47" s="52"/>
      <c r="GD47" s="52"/>
      <c r="GE47" s="52"/>
      <c r="GF47" s="52"/>
      <c r="GG47" s="52"/>
      <c r="GH47" s="52"/>
      <c r="GI47" s="52"/>
      <c r="GJ47" s="52"/>
      <c r="GK47" s="52"/>
      <c r="GL47" s="52"/>
      <c r="GM47" s="52"/>
      <c r="GN47" s="52"/>
      <c r="GO47" s="52"/>
      <c r="GP47" s="52"/>
      <c r="GQ47" s="52"/>
      <c r="GR47" s="52"/>
      <c r="GS47" s="52"/>
      <c r="GT47" s="52"/>
      <c r="GU47" s="52"/>
      <c r="GV47" s="52"/>
      <c r="GW47" s="52"/>
      <c r="GX47" s="52"/>
      <c r="GY47" s="52"/>
      <c r="GZ47" s="52"/>
      <c r="HA47" s="52"/>
      <c r="HB47" s="52"/>
      <c r="HC47" s="52"/>
      <c r="HD47" s="52"/>
      <c r="HE47" s="52"/>
      <c r="HF47" s="52"/>
      <c r="HG47" s="52"/>
      <c r="HH47" s="52"/>
      <c r="HI47" s="52"/>
      <c r="HJ47" s="52"/>
      <c r="HK47" s="52"/>
      <c r="HL47" s="52"/>
      <c r="HM47" s="52"/>
      <c r="HN47" s="52"/>
      <c r="HO47" s="52"/>
      <c r="HP47" s="52"/>
      <c r="HQ47" s="52"/>
      <c r="HR47" s="52"/>
      <c r="HS47" s="52"/>
      <c r="HT47" s="52"/>
      <c r="HU47" s="52"/>
      <c r="HV47" s="52"/>
      <c r="HW47" s="52"/>
      <c r="HX47" s="52"/>
      <c r="HY47" s="52"/>
      <c r="HZ47" s="52"/>
      <c r="IA47" s="52"/>
      <c r="IB47" s="52"/>
      <c r="IC47" s="52"/>
      <c r="ID47" s="52"/>
      <c r="IE47" s="52"/>
      <c r="IF47" s="52"/>
      <c r="IG47" s="52"/>
      <c r="IH47" s="52"/>
      <c r="II47" s="52"/>
      <c r="IJ47" s="52"/>
      <c r="IK47" s="52"/>
      <c r="IL47" s="52"/>
      <c r="IM47" s="52"/>
      <c r="IN47" s="52"/>
      <c r="IO47" s="52"/>
      <c r="IP47" s="52"/>
      <c r="IQ47" s="52"/>
      <c r="IR47" s="52"/>
      <c r="IS47" s="52"/>
      <c r="IT47" s="52"/>
      <c r="IU47" s="52"/>
      <c r="IV47" s="52"/>
    </row>
    <row r="48" spans="1:256" ht="17.25" customHeight="1" x14ac:dyDescent="0.25">
      <c r="A48" s="52" t="s">
        <v>29</v>
      </c>
      <c r="B48" s="52"/>
      <c r="C48" s="52"/>
      <c r="D48" s="52"/>
      <c r="E48" s="52"/>
      <c r="F48" s="52"/>
      <c r="G48" s="52"/>
      <c r="H48" s="52"/>
      <c r="I48" s="52"/>
      <c r="J48" s="52"/>
      <c r="K48" s="52"/>
      <c r="L48" s="52"/>
      <c r="M48" s="52"/>
      <c r="N48" s="52"/>
      <c r="O48" s="52"/>
      <c r="P48" s="52"/>
      <c r="Q48" s="52"/>
      <c r="R48" s="52"/>
      <c r="S48" s="52"/>
      <c r="T48" s="52"/>
      <c r="U48" s="52"/>
      <c r="V48" s="52"/>
      <c r="W48" s="52"/>
      <c r="X48" s="52"/>
      <c r="Y48" s="52"/>
      <c r="Z48" s="52"/>
      <c r="AA48" s="52"/>
      <c r="AB48" s="52"/>
      <c r="AC48" s="52"/>
      <c r="AD48" s="52"/>
      <c r="AE48" s="52"/>
      <c r="AF48" s="52"/>
      <c r="AG48" s="52"/>
      <c r="AH48" s="52"/>
      <c r="AI48" s="52"/>
      <c r="AJ48" s="52"/>
      <c r="AK48" s="52"/>
      <c r="AL48" s="52"/>
      <c r="AM48" s="52"/>
      <c r="AN48" s="52"/>
      <c r="AO48" s="52"/>
      <c r="AP48" s="52"/>
      <c r="AQ48" s="52"/>
      <c r="AR48" s="52"/>
      <c r="AS48" s="52"/>
      <c r="AT48" s="52"/>
      <c r="AU48" s="52"/>
      <c r="AV48" s="52"/>
      <c r="AW48" s="52"/>
      <c r="AX48" s="52"/>
      <c r="AY48" s="52"/>
      <c r="AZ48" s="52"/>
      <c r="BA48" s="52"/>
      <c r="BB48" s="52"/>
      <c r="BC48" s="52"/>
      <c r="BD48" s="52"/>
      <c r="BE48" s="52"/>
      <c r="BF48" s="52"/>
      <c r="BG48" s="52"/>
      <c r="BH48" s="52"/>
      <c r="BI48" s="52"/>
      <c r="BJ48" s="52"/>
      <c r="BK48" s="52"/>
      <c r="BL48" s="52"/>
      <c r="BM48" s="52"/>
      <c r="BN48" s="52"/>
      <c r="BO48" s="52"/>
      <c r="BP48" s="52"/>
      <c r="BQ48" s="52"/>
      <c r="BR48" s="52"/>
      <c r="BS48" s="52"/>
      <c r="BT48" s="52"/>
      <c r="BU48" s="52"/>
      <c r="BV48" s="52"/>
      <c r="BW48" s="52"/>
      <c r="BX48" s="52"/>
      <c r="BY48" s="52"/>
      <c r="BZ48" s="52"/>
      <c r="CA48" s="52"/>
      <c r="CB48" s="52"/>
      <c r="CC48" s="52"/>
      <c r="CD48" s="52"/>
      <c r="CE48" s="52"/>
      <c r="CF48" s="52"/>
      <c r="CG48" s="52"/>
      <c r="CH48" s="52"/>
      <c r="CI48" s="52"/>
      <c r="CJ48" s="52"/>
      <c r="CK48" s="52"/>
      <c r="CL48" s="52"/>
      <c r="CM48" s="52"/>
      <c r="CN48" s="52"/>
      <c r="CO48" s="52"/>
      <c r="CP48" s="52"/>
      <c r="CQ48" s="52"/>
      <c r="CR48" s="52"/>
      <c r="CS48" s="52"/>
      <c r="CT48" s="52"/>
      <c r="CU48" s="52"/>
      <c r="CV48" s="52"/>
      <c r="CW48" s="52"/>
      <c r="CX48" s="52"/>
      <c r="CY48" s="52"/>
      <c r="CZ48" s="52"/>
      <c r="DA48" s="52"/>
      <c r="DB48" s="52"/>
      <c r="DC48" s="52"/>
      <c r="DD48" s="52"/>
      <c r="DE48" s="52"/>
      <c r="DF48" s="52"/>
      <c r="DG48" s="52"/>
      <c r="DH48" s="52"/>
      <c r="DI48" s="52"/>
      <c r="DJ48" s="52"/>
      <c r="DK48" s="52"/>
      <c r="DL48" s="52"/>
      <c r="DM48" s="52"/>
      <c r="DN48" s="52"/>
      <c r="DO48" s="52"/>
      <c r="DP48" s="52"/>
      <c r="DQ48" s="52"/>
      <c r="DR48" s="52"/>
      <c r="DS48" s="52"/>
      <c r="DT48" s="52"/>
      <c r="DU48" s="52"/>
      <c r="DV48" s="52"/>
      <c r="DW48" s="52"/>
      <c r="DX48" s="52"/>
      <c r="DY48" s="52"/>
      <c r="DZ48" s="52"/>
      <c r="EA48" s="52"/>
      <c r="EB48" s="52"/>
      <c r="EC48" s="52"/>
      <c r="ED48" s="52"/>
      <c r="EE48" s="52"/>
      <c r="EF48" s="52"/>
      <c r="EG48" s="52"/>
      <c r="EH48" s="52"/>
      <c r="EI48" s="52"/>
      <c r="EJ48" s="52"/>
      <c r="EK48" s="52"/>
      <c r="EL48" s="52"/>
      <c r="EM48" s="52"/>
      <c r="EN48" s="52"/>
      <c r="EO48" s="52"/>
      <c r="EP48" s="52"/>
      <c r="EQ48" s="52"/>
      <c r="ER48" s="52"/>
      <c r="ES48" s="52"/>
      <c r="ET48" s="52"/>
      <c r="EU48" s="52"/>
      <c r="EV48" s="52"/>
      <c r="EW48" s="52"/>
      <c r="EX48" s="52"/>
      <c r="EY48" s="52"/>
      <c r="EZ48" s="52"/>
      <c r="FA48" s="52"/>
      <c r="FB48" s="52"/>
      <c r="FC48" s="52"/>
      <c r="FD48" s="52"/>
      <c r="FE48" s="52"/>
      <c r="FF48" s="52"/>
      <c r="FG48" s="52"/>
      <c r="FH48" s="52"/>
      <c r="FI48" s="52"/>
      <c r="FJ48" s="52"/>
      <c r="FK48" s="52"/>
      <c r="FL48" s="52"/>
      <c r="FM48" s="52"/>
      <c r="FN48" s="52"/>
      <c r="FO48" s="52"/>
      <c r="FP48" s="52"/>
      <c r="FQ48" s="52"/>
      <c r="FR48" s="52"/>
      <c r="FS48" s="52"/>
      <c r="FT48" s="52"/>
      <c r="FU48" s="52"/>
      <c r="FV48" s="52"/>
      <c r="FW48" s="52"/>
      <c r="FX48" s="52"/>
      <c r="FY48" s="52"/>
      <c r="FZ48" s="52"/>
      <c r="GA48" s="52"/>
      <c r="GB48" s="52"/>
      <c r="GC48" s="52"/>
      <c r="GD48" s="52"/>
      <c r="GE48" s="52"/>
      <c r="GF48" s="52"/>
      <c r="GG48" s="52"/>
      <c r="GH48" s="52"/>
      <c r="GI48" s="52"/>
      <c r="GJ48" s="52"/>
      <c r="GK48" s="52"/>
      <c r="GL48" s="52"/>
      <c r="GM48" s="52"/>
      <c r="GN48" s="52"/>
      <c r="GO48" s="52"/>
      <c r="GP48" s="52"/>
      <c r="GQ48" s="52"/>
      <c r="GR48" s="52"/>
      <c r="GS48" s="52"/>
      <c r="GT48" s="52"/>
      <c r="GU48" s="52"/>
      <c r="GV48" s="52"/>
      <c r="GW48" s="52"/>
      <c r="GX48" s="52"/>
      <c r="GY48" s="52"/>
      <c r="GZ48" s="52"/>
      <c r="HA48" s="52"/>
      <c r="HB48" s="52"/>
      <c r="HC48" s="52"/>
      <c r="HD48" s="52"/>
      <c r="HE48" s="52"/>
      <c r="HF48" s="52"/>
      <c r="HG48" s="52"/>
      <c r="HH48" s="52"/>
      <c r="HI48" s="52"/>
      <c r="HJ48" s="52"/>
      <c r="HK48" s="52"/>
      <c r="HL48" s="52"/>
      <c r="HM48" s="52"/>
      <c r="HN48" s="52"/>
      <c r="HO48" s="52"/>
      <c r="HP48" s="52"/>
      <c r="HQ48" s="52"/>
      <c r="HR48" s="52"/>
      <c r="HS48" s="52"/>
      <c r="HT48" s="52"/>
      <c r="HU48" s="52"/>
      <c r="HV48" s="52"/>
      <c r="HW48" s="52"/>
      <c r="HX48" s="52"/>
      <c r="HY48" s="52"/>
      <c r="HZ48" s="52"/>
      <c r="IA48" s="52"/>
      <c r="IB48" s="52"/>
      <c r="IC48" s="52"/>
      <c r="ID48" s="52"/>
      <c r="IE48" s="52"/>
      <c r="IF48" s="52"/>
      <c r="IG48" s="52"/>
      <c r="IH48" s="52"/>
      <c r="II48" s="52"/>
      <c r="IJ48" s="52"/>
      <c r="IK48" s="52"/>
      <c r="IL48" s="52"/>
      <c r="IM48" s="52"/>
      <c r="IN48" s="52"/>
      <c r="IO48" s="52"/>
      <c r="IP48" s="52"/>
      <c r="IQ48" s="52"/>
      <c r="IR48" s="52"/>
      <c r="IS48" s="52"/>
      <c r="IT48" s="52"/>
      <c r="IU48" s="52"/>
      <c r="IV48" s="52"/>
    </row>
  </sheetData>
  <mergeCells count="60">
    <mergeCell ref="D30:G30"/>
    <mergeCell ref="D31:G31"/>
    <mergeCell ref="B29:C29"/>
    <mergeCell ref="B28:C28"/>
    <mergeCell ref="B27:C27"/>
    <mergeCell ref="D28:G28"/>
    <mergeCell ref="D29:G29"/>
    <mergeCell ref="B26:C26"/>
    <mergeCell ref="B25:C25"/>
    <mergeCell ref="D25:G25"/>
    <mergeCell ref="D26:G26"/>
    <mergeCell ref="D27:G27"/>
    <mergeCell ref="B41:C41"/>
    <mergeCell ref="D41:G41"/>
    <mergeCell ref="B42:C42"/>
    <mergeCell ref="D42:G42"/>
    <mergeCell ref="B17:C17"/>
    <mergeCell ref="D17:G17"/>
    <mergeCell ref="B32:C32"/>
    <mergeCell ref="D32:G32"/>
    <mergeCell ref="B31:C31"/>
    <mergeCell ref="B30:C30"/>
    <mergeCell ref="B39:C39"/>
    <mergeCell ref="D39:G39"/>
    <mergeCell ref="B40:C40"/>
    <mergeCell ref="D40:G40"/>
    <mergeCell ref="B36:C36"/>
    <mergeCell ref="D36:G36"/>
    <mergeCell ref="B37:C37"/>
    <mergeCell ref="D37:G37"/>
    <mergeCell ref="B38:C38"/>
    <mergeCell ref="D38:G38"/>
    <mergeCell ref="B33:C33"/>
    <mergeCell ref="D33:G33"/>
    <mergeCell ref="B34:C34"/>
    <mergeCell ref="D34:G34"/>
    <mergeCell ref="B35:C35"/>
    <mergeCell ref="D35:G35"/>
    <mergeCell ref="B23:C23"/>
    <mergeCell ref="D23:G23"/>
    <mergeCell ref="B24:C24"/>
    <mergeCell ref="D24:G24"/>
    <mergeCell ref="B20:C20"/>
    <mergeCell ref="D20:G20"/>
    <mergeCell ref="B21:C21"/>
    <mergeCell ref="D21:G21"/>
    <mergeCell ref="B22:C22"/>
    <mergeCell ref="D22:G22"/>
    <mergeCell ref="B16:C16"/>
    <mergeCell ref="D16:G16"/>
    <mergeCell ref="B18:C18"/>
    <mergeCell ref="D18:G18"/>
    <mergeCell ref="B19:C19"/>
    <mergeCell ref="D19:G19"/>
    <mergeCell ref="C1:I1"/>
    <mergeCell ref="A10:I10"/>
    <mergeCell ref="A11:I11"/>
    <mergeCell ref="A13:I13"/>
    <mergeCell ref="B15:C15"/>
    <mergeCell ref="D15:G15"/>
  </mergeCells>
  <pageMargins left="0.11811023622047245" right="0.19685039370078741" top="7.874015748031496E-2" bottom="0.19685039370078741" header="0.31496062992125984" footer="0.31496062992125984"/>
  <pageSetup paperSize="9" orientation="portrait" useFirstPageNumber="1" r:id="rId1"/>
  <headerFooter alignWithMargins="0">
    <oddFooter>&amp;CСтраница &amp;P</oddFooter>
  </headerFooter>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43"/>
  <sheetViews>
    <sheetView zoomScaleNormal="100" workbookViewId="0">
      <selection activeCell="H41" sqref="H41"/>
    </sheetView>
  </sheetViews>
  <sheetFormatPr defaultColWidth="11.5703125" defaultRowHeight="12.75" x14ac:dyDescent="0.2"/>
  <cols>
    <col min="1" max="1" width="3.7109375" style="50" customWidth="1"/>
    <col min="2" max="2" width="10.7109375" style="50" customWidth="1"/>
    <col min="3" max="3" width="10.28515625" style="50" customWidth="1"/>
    <col min="4" max="6" width="9.28515625" style="50" customWidth="1"/>
    <col min="7" max="7" width="19.42578125" style="50" customWidth="1"/>
    <col min="8" max="8" width="16.5703125" style="50" customWidth="1"/>
    <col min="9" max="9" width="13.5703125" style="50" customWidth="1"/>
    <col min="10" max="10" width="19.7109375" style="51" customWidth="1"/>
    <col min="11" max="256" width="11.5703125" style="51"/>
    <col min="257" max="257" width="3.7109375" style="51" customWidth="1"/>
    <col min="258" max="259" width="10.7109375" style="51" customWidth="1"/>
    <col min="260" max="263" width="9.28515625" style="51" customWidth="1"/>
    <col min="264" max="264" width="14.5703125" style="51" customWidth="1"/>
    <col min="265" max="265" width="17.7109375" style="51" customWidth="1"/>
    <col min="266" max="266" width="19.7109375" style="51" customWidth="1"/>
    <col min="267" max="512" width="11.5703125" style="51"/>
    <col min="513" max="513" width="3.7109375" style="51" customWidth="1"/>
    <col min="514" max="515" width="10.7109375" style="51" customWidth="1"/>
    <col min="516" max="519" width="9.28515625" style="51" customWidth="1"/>
    <col min="520" max="520" width="14.5703125" style="51" customWidth="1"/>
    <col min="521" max="521" width="17.7109375" style="51" customWidth="1"/>
    <col min="522" max="522" width="19.7109375" style="51" customWidth="1"/>
    <col min="523" max="768" width="11.5703125" style="51"/>
    <col min="769" max="769" width="3.7109375" style="51" customWidth="1"/>
    <col min="770" max="771" width="10.7109375" style="51" customWidth="1"/>
    <col min="772" max="775" width="9.28515625" style="51" customWidth="1"/>
    <col min="776" max="776" width="14.5703125" style="51" customWidth="1"/>
    <col min="777" max="777" width="17.7109375" style="51" customWidth="1"/>
    <col min="778" max="778" width="19.7109375" style="51" customWidth="1"/>
    <col min="779" max="1024" width="11.5703125" style="51"/>
    <col min="1025" max="1025" width="3.7109375" style="51" customWidth="1"/>
    <col min="1026" max="1027" width="10.7109375" style="51" customWidth="1"/>
    <col min="1028" max="1031" width="9.28515625" style="51" customWidth="1"/>
    <col min="1032" max="1032" width="14.5703125" style="51" customWidth="1"/>
    <col min="1033" max="1033" width="17.7109375" style="51" customWidth="1"/>
    <col min="1034" max="1034" width="19.7109375" style="51" customWidth="1"/>
    <col min="1035" max="1280" width="11.5703125" style="51"/>
    <col min="1281" max="1281" width="3.7109375" style="51" customWidth="1"/>
    <col min="1282" max="1283" width="10.7109375" style="51" customWidth="1"/>
    <col min="1284" max="1287" width="9.28515625" style="51" customWidth="1"/>
    <col min="1288" max="1288" width="14.5703125" style="51" customWidth="1"/>
    <col min="1289" max="1289" width="17.7109375" style="51" customWidth="1"/>
    <col min="1290" max="1290" width="19.7109375" style="51" customWidth="1"/>
    <col min="1291" max="1536" width="11.5703125" style="51"/>
    <col min="1537" max="1537" width="3.7109375" style="51" customWidth="1"/>
    <col min="1538" max="1539" width="10.7109375" style="51" customWidth="1"/>
    <col min="1540" max="1543" width="9.28515625" style="51" customWidth="1"/>
    <col min="1544" max="1544" width="14.5703125" style="51" customWidth="1"/>
    <col min="1545" max="1545" width="17.7109375" style="51" customWidth="1"/>
    <col min="1546" max="1546" width="19.7109375" style="51" customWidth="1"/>
    <col min="1547" max="1792" width="11.5703125" style="51"/>
    <col min="1793" max="1793" width="3.7109375" style="51" customWidth="1"/>
    <col min="1794" max="1795" width="10.7109375" style="51" customWidth="1"/>
    <col min="1796" max="1799" width="9.28515625" style="51" customWidth="1"/>
    <col min="1800" max="1800" width="14.5703125" style="51" customWidth="1"/>
    <col min="1801" max="1801" width="17.7109375" style="51" customWidth="1"/>
    <col min="1802" max="1802" width="19.7109375" style="51" customWidth="1"/>
    <col min="1803" max="2048" width="11.5703125" style="51"/>
    <col min="2049" max="2049" width="3.7109375" style="51" customWidth="1"/>
    <col min="2050" max="2051" width="10.7109375" style="51" customWidth="1"/>
    <col min="2052" max="2055" width="9.28515625" style="51" customWidth="1"/>
    <col min="2056" max="2056" width="14.5703125" style="51" customWidth="1"/>
    <col min="2057" max="2057" width="17.7109375" style="51" customWidth="1"/>
    <col min="2058" max="2058" width="19.7109375" style="51" customWidth="1"/>
    <col min="2059" max="2304" width="11.5703125" style="51"/>
    <col min="2305" max="2305" width="3.7109375" style="51" customWidth="1"/>
    <col min="2306" max="2307" width="10.7109375" style="51" customWidth="1"/>
    <col min="2308" max="2311" width="9.28515625" style="51" customWidth="1"/>
    <col min="2312" max="2312" width="14.5703125" style="51" customWidth="1"/>
    <col min="2313" max="2313" width="17.7109375" style="51" customWidth="1"/>
    <col min="2314" max="2314" width="19.7109375" style="51" customWidth="1"/>
    <col min="2315" max="2560" width="11.5703125" style="51"/>
    <col min="2561" max="2561" width="3.7109375" style="51" customWidth="1"/>
    <col min="2562" max="2563" width="10.7109375" style="51" customWidth="1"/>
    <col min="2564" max="2567" width="9.28515625" style="51" customWidth="1"/>
    <col min="2568" max="2568" width="14.5703125" style="51" customWidth="1"/>
    <col min="2569" max="2569" width="17.7109375" style="51" customWidth="1"/>
    <col min="2570" max="2570" width="19.7109375" style="51" customWidth="1"/>
    <col min="2571" max="2816" width="11.5703125" style="51"/>
    <col min="2817" max="2817" width="3.7109375" style="51" customWidth="1"/>
    <col min="2818" max="2819" width="10.7109375" style="51" customWidth="1"/>
    <col min="2820" max="2823" width="9.28515625" style="51" customWidth="1"/>
    <col min="2824" max="2824" width="14.5703125" style="51" customWidth="1"/>
    <col min="2825" max="2825" width="17.7109375" style="51" customWidth="1"/>
    <col min="2826" max="2826" width="19.7109375" style="51" customWidth="1"/>
    <col min="2827" max="3072" width="11.5703125" style="51"/>
    <col min="3073" max="3073" width="3.7109375" style="51" customWidth="1"/>
    <col min="3074" max="3075" width="10.7109375" style="51" customWidth="1"/>
    <col min="3076" max="3079" width="9.28515625" style="51" customWidth="1"/>
    <col min="3080" max="3080" width="14.5703125" style="51" customWidth="1"/>
    <col min="3081" max="3081" width="17.7109375" style="51" customWidth="1"/>
    <col min="3082" max="3082" width="19.7109375" style="51" customWidth="1"/>
    <col min="3083" max="3328" width="11.5703125" style="51"/>
    <col min="3329" max="3329" width="3.7109375" style="51" customWidth="1"/>
    <col min="3330" max="3331" width="10.7109375" style="51" customWidth="1"/>
    <col min="3332" max="3335" width="9.28515625" style="51" customWidth="1"/>
    <col min="3336" max="3336" width="14.5703125" style="51" customWidth="1"/>
    <col min="3337" max="3337" width="17.7109375" style="51" customWidth="1"/>
    <col min="3338" max="3338" width="19.7109375" style="51" customWidth="1"/>
    <col min="3339" max="3584" width="11.5703125" style="51"/>
    <col min="3585" max="3585" width="3.7109375" style="51" customWidth="1"/>
    <col min="3586" max="3587" width="10.7109375" style="51" customWidth="1"/>
    <col min="3588" max="3591" width="9.28515625" style="51" customWidth="1"/>
    <col min="3592" max="3592" width="14.5703125" style="51" customWidth="1"/>
    <col min="3593" max="3593" width="17.7109375" style="51" customWidth="1"/>
    <col min="3594" max="3594" width="19.7109375" style="51" customWidth="1"/>
    <col min="3595" max="3840" width="11.5703125" style="51"/>
    <col min="3841" max="3841" width="3.7109375" style="51" customWidth="1"/>
    <col min="3842" max="3843" width="10.7109375" style="51" customWidth="1"/>
    <col min="3844" max="3847" width="9.28515625" style="51" customWidth="1"/>
    <col min="3848" max="3848" width="14.5703125" style="51" customWidth="1"/>
    <col min="3849" max="3849" width="17.7109375" style="51" customWidth="1"/>
    <col min="3850" max="3850" width="19.7109375" style="51" customWidth="1"/>
    <col min="3851" max="4096" width="11.5703125" style="51"/>
    <col min="4097" max="4097" width="3.7109375" style="51" customWidth="1"/>
    <col min="4098" max="4099" width="10.7109375" style="51" customWidth="1"/>
    <col min="4100" max="4103" width="9.28515625" style="51" customWidth="1"/>
    <col min="4104" max="4104" width="14.5703125" style="51" customWidth="1"/>
    <col min="4105" max="4105" width="17.7109375" style="51" customWidth="1"/>
    <col min="4106" max="4106" width="19.7109375" style="51" customWidth="1"/>
    <col min="4107" max="4352" width="11.5703125" style="51"/>
    <col min="4353" max="4353" width="3.7109375" style="51" customWidth="1"/>
    <col min="4354" max="4355" width="10.7109375" style="51" customWidth="1"/>
    <col min="4356" max="4359" width="9.28515625" style="51" customWidth="1"/>
    <col min="4360" max="4360" width="14.5703125" style="51" customWidth="1"/>
    <col min="4361" max="4361" width="17.7109375" style="51" customWidth="1"/>
    <col min="4362" max="4362" width="19.7109375" style="51" customWidth="1"/>
    <col min="4363" max="4608" width="11.5703125" style="51"/>
    <col min="4609" max="4609" width="3.7109375" style="51" customWidth="1"/>
    <col min="4610" max="4611" width="10.7109375" style="51" customWidth="1"/>
    <col min="4612" max="4615" width="9.28515625" style="51" customWidth="1"/>
    <col min="4616" max="4616" width="14.5703125" style="51" customWidth="1"/>
    <col min="4617" max="4617" width="17.7109375" style="51" customWidth="1"/>
    <col min="4618" max="4618" width="19.7109375" style="51" customWidth="1"/>
    <col min="4619" max="4864" width="11.5703125" style="51"/>
    <col min="4865" max="4865" width="3.7109375" style="51" customWidth="1"/>
    <col min="4866" max="4867" width="10.7109375" style="51" customWidth="1"/>
    <col min="4868" max="4871" width="9.28515625" style="51" customWidth="1"/>
    <col min="4872" max="4872" width="14.5703125" style="51" customWidth="1"/>
    <col min="4873" max="4873" width="17.7109375" style="51" customWidth="1"/>
    <col min="4874" max="4874" width="19.7109375" style="51" customWidth="1"/>
    <col min="4875" max="5120" width="11.5703125" style="51"/>
    <col min="5121" max="5121" width="3.7109375" style="51" customWidth="1"/>
    <col min="5122" max="5123" width="10.7109375" style="51" customWidth="1"/>
    <col min="5124" max="5127" width="9.28515625" style="51" customWidth="1"/>
    <col min="5128" max="5128" width="14.5703125" style="51" customWidth="1"/>
    <col min="5129" max="5129" width="17.7109375" style="51" customWidth="1"/>
    <col min="5130" max="5130" width="19.7109375" style="51" customWidth="1"/>
    <col min="5131" max="5376" width="11.5703125" style="51"/>
    <col min="5377" max="5377" width="3.7109375" style="51" customWidth="1"/>
    <col min="5378" max="5379" width="10.7109375" style="51" customWidth="1"/>
    <col min="5380" max="5383" width="9.28515625" style="51" customWidth="1"/>
    <col min="5384" max="5384" width="14.5703125" style="51" customWidth="1"/>
    <col min="5385" max="5385" width="17.7109375" style="51" customWidth="1"/>
    <col min="5386" max="5386" width="19.7109375" style="51" customWidth="1"/>
    <col min="5387" max="5632" width="11.5703125" style="51"/>
    <col min="5633" max="5633" width="3.7109375" style="51" customWidth="1"/>
    <col min="5634" max="5635" width="10.7109375" style="51" customWidth="1"/>
    <col min="5636" max="5639" width="9.28515625" style="51" customWidth="1"/>
    <col min="5640" max="5640" width="14.5703125" style="51" customWidth="1"/>
    <col min="5641" max="5641" width="17.7109375" style="51" customWidth="1"/>
    <col min="5642" max="5642" width="19.7109375" style="51" customWidth="1"/>
    <col min="5643" max="5888" width="11.5703125" style="51"/>
    <col min="5889" max="5889" width="3.7109375" style="51" customWidth="1"/>
    <col min="5890" max="5891" width="10.7109375" style="51" customWidth="1"/>
    <col min="5892" max="5895" width="9.28515625" style="51" customWidth="1"/>
    <col min="5896" max="5896" width="14.5703125" style="51" customWidth="1"/>
    <col min="5897" max="5897" width="17.7109375" style="51" customWidth="1"/>
    <col min="5898" max="5898" width="19.7109375" style="51" customWidth="1"/>
    <col min="5899" max="6144" width="11.5703125" style="51"/>
    <col min="6145" max="6145" width="3.7109375" style="51" customWidth="1"/>
    <col min="6146" max="6147" width="10.7109375" style="51" customWidth="1"/>
    <col min="6148" max="6151" width="9.28515625" style="51" customWidth="1"/>
    <col min="6152" max="6152" width="14.5703125" style="51" customWidth="1"/>
    <col min="6153" max="6153" width="17.7109375" style="51" customWidth="1"/>
    <col min="6154" max="6154" width="19.7109375" style="51" customWidth="1"/>
    <col min="6155" max="6400" width="11.5703125" style="51"/>
    <col min="6401" max="6401" width="3.7109375" style="51" customWidth="1"/>
    <col min="6402" max="6403" width="10.7109375" style="51" customWidth="1"/>
    <col min="6404" max="6407" width="9.28515625" style="51" customWidth="1"/>
    <col min="6408" max="6408" width="14.5703125" style="51" customWidth="1"/>
    <col min="6409" max="6409" width="17.7109375" style="51" customWidth="1"/>
    <col min="6410" max="6410" width="19.7109375" style="51" customWidth="1"/>
    <col min="6411" max="6656" width="11.5703125" style="51"/>
    <col min="6657" max="6657" width="3.7109375" style="51" customWidth="1"/>
    <col min="6658" max="6659" width="10.7109375" style="51" customWidth="1"/>
    <col min="6660" max="6663" width="9.28515625" style="51" customWidth="1"/>
    <col min="6664" max="6664" width="14.5703125" style="51" customWidth="1"/>
    <col min="6665" max="6665" width="17.7109375" style="51" customWidth="1"/>
    <col min="6666" max="6666" width="19.7109375" style="51" customWidth="1"/>
    <col min="6667" max="6912" width="11.5703125" style="51"/>
    <col min="6913" max="6913" width="3.7109375" style="51" customWidth="1"/>
    <col min="6914" max="6915" width="10.7109375" style="51" customWidth="1"/>
    <col min="6916" max="6919" width="9.28515625" style="51" customWidth="1"/>
    <col min="6920" max="6920" width="14.5703125" style="51" customWidth="1"/>
    <col min="6921" max="6921" width="17.7109375" style="51" customWidth="1"/>
    <col min="6922" max="6922" width="19.7109375" style="51" customWidth="1"/>
    <col min="6923" max="7168" width="11.5703125" style="51"/>
    <col min="7169" max="7169" width="3.7109375" style="51" customWidth="1"/>
    <col min="7170" max="7171" width="10.7109375" style="51" customWidth="1"/>
    <col min="7172" max="7175" width="9.28515625" style="51" customWidth="1"/>
    <col min="7176" max="7176" width="14.5703125" style="51" customWidth="1"/>
    <col min="7177" max="7177" width="17.7109375" style="51" customWidth="1"/>
    <col min="7178" max="7178" width="19.7109375" style="51" customWidth="1"/>
    <col min="7179" max="7424" width="11.5703125" style="51"/>
    <col min="7425" max="7425" width="3.7109375" style="51" customWidth="1"/>
    <col min="7426" max="7427" width="10.7109375" style="51" customWidth="1"/>
    <col min="7428" max="7431" width="9.28515625" style="51" customWidth="1"/>
    <col min="7432" max="7432" width="14.5703125" style="51" customWidth="1"/>
    <col min="7433" max="7433" width="17.7109375" style="51" customWidth="1"/>
    <col min="7434" max="7434" width="19.7109375" style="51" customWidth="1"/>
    <col min="7435" max="7680" width="11.5703125" style="51"/>
    <col min="7681" max="7681" width="3.7109375" style="51" customWidth="1"/>
    <col min="7682" max="7683" width="10.7109375" style="51" customWidth="1"/>
    <col min="7684" max="7687" width="9.28515625" style="51" customWidth="1"/>
    <col min="7688" max="7688" width="14.5703125" style="51" customWidth="1"/>
    <col min="7689" max="7689" width="17.7109375" style="51" customWidth="1"/>
    <col min="7690" max="7690" width="19.7109375" style="51" customWidth="1"/>
    <col min="7691" max="7936" width="11.5703125" style="51"/>
    <col min="7937" max="7937" width="3.7109375" style="51" customWidth="1"/>
    <col min="7938" max="7939" width="10.7109375" style="51" customWidth="1"/>
    <col min="7940" max="7943" width="9.28515625" style="51" customWidth="1"/>
    <col min="7944" max="7944" width="14.5703125" style="51" customWidth="1"/>
    <col min="7945" max="7945" width="17.7109375" style="51" customWidth="1"/>
    <col min="7946" max="7946" width="19.7109375" style="51" customWidth="1"/>
    <col min="7947" max="8192" width="11.5703125" style="51"/>
    <col min="8193" max="8193" width="3.7109375" style="51" customWidth="1"/>
    <col min="8194" max="8195" width="10.7109375" style="51" customWidth="1"/>
    <col min="8196" max="8199" width="9.28515625" style="51" customWidth="1"/>
    <col min="8200" max="8200" width="14.5703125" style="51" customWidth="1"/>
    <col min="8201" max="8201" width="17.7109375" style="51" customWidth="1"/>
    <col min="8202" max="8202" width="19.7109375" style="51" customWidth="1"/>
    <col min="8203" max="8448" width="11.5703125" style="51"/>
    <col min="8449" max="8449" width="3.7109375" style="51" customWidth="1"/>
    <col min="8450" max="8451" width="10.7109375" style="51" customWidth="1"/>
    <col min="8452" max="8455" width="9.28515625" style="51" customWidth="1"/>
    <col min="8456" max="8456" width="14.5703125" style="51" customWidth="1"/>
    <col min="8457" max="8457" width="17.7109375" style="51" customWidth="1"/>
    <col min="8458" max="8458" width="19.7109375" style="51" customWidth="1"/>
    <col min="8459" max="8704" width="11.5703125" style="51"/>
    <col min="8705" max="8705" width="3.7109375" style="51" customWidth="1"/>
    <col min="8706" max="8707" width="10.7109375" style="51" customWidth="1"/>
    <col min="8708" max="8711" width="9.28515625" style="51" customWidth="1"/>
    <col min="8712" max="8712" width="14.5703125" style="51" customWidth="1"/>
    <col min="8713" max="8713" width="17.7109375" style="51" customWidth="1"/>
    <col min="8714" max="8714" width="19.7109375" style="51" customWidth="1"/>
    <col min="8715" max="8960" width="11.5703125" style="51"/>
    <col min="8961" max="8961" width="3.7109375" style="51" customWidth="1"/>
    <col min="8962" max="8963" width="10.7109375" style="51" customWidth="1"/>
    <col min="8964" max="8967" width="9.28515625" style="51" customWidth="1"/>
    <col min="8968" max="8968" width="14.5703125" style="51" customWidth="1"/>
    <col min="8969" max="8969" width="17.7109375" style="51" customWidth="1"/>
    <col min="8970" max="8970" width="19.7109375" style="51" customWidth="1"/>
    <col min="8971" max="9216" width="11.5703125" style="51"/>
    <col min="9217" max="9217" width="3.7109375" style="51" customWidth="1"/>
    <col min="9218" max="9219" width="10.7109375" style="51" customWidth="1"/>
    <col min="9220" max="9223" width="9.28515625" style="51" customWidth="1"/>
    <col min="9224" max="9224" width="14.5703125" style="51" customWidth="1"/>
    <col min="9225" max="9225" width="17.7109375" style="51" customWidth="1"/>
    <col min="9226" max="9226" width="19.7109375" style="51" customWidth="1"/>
    <col min="9227" max="9472" width="11.5703125" style="51"/>
    <col min="9473" max="9473" width="3.7109375" style="51" customWidth="1"/>
    <col min="9474" max="9475" width="10.7109375" style="51" customWidth="1"/>
    <col min="9476" max="9479" width="9.28515625" style="51" customWidth="1"/>
    <col min="9480" max="9480" width="14.5703125" style="51" customWidth="1"/>
    <col min="9481" max="9481" width="17.7109375" style="51" customWidth="1"/>
    <col min="9482" max="9482" width="19.7109375" style="51" customWidth="1"/>
    <col min="9483" max="9728" width="11.5703125" style="51"/>
    <col min="9729" max="9729" width="3.7109375" style="51" customWidth="1"/>
    <col min="9730" max="9731" width="10.7109375" style="51" customWidth="1"/>
    <col min="9732" max="9735" width="9.28515625" style="51" customWidth="1"/>
    <col min="9736" max="9736" width="14.5703125" style="51" customWidth="1"/>
    <col min="9737" max="9737" width="17.7109375" style="51" customWidth="1"/>
    <col min="9738" max="9738" width="19.7109375" style="51" customWidth="1"/>
    <col min="9739" max="9984" width="11.5703125" style="51"/>
    <col min="9985" max="9985" width="3.7109375" style="51" customWidth="1"/>
    <col min="9986" max="9987" width="10.7109375" style="51" customWidth="1"/>
    <col min="9988" max="9991" width="9.28515625" style="51" customWidth="1"/>
    <col min="9992" max="9992" width="14.5703125" style="51" customWidth="1"/>
    <col min="9993" max="9993" width="17.7109375" style="51" customWidth="1"/>
    <col min="9994" max="9994" width="19.7109375" style="51" customWidth="1"/>
    <col min="9995" max="10240" width="11.5703125" style="51"/>
    <col min="10241" max="10241" width="3.7109375" style="51" customWidth="1"/>
    <col min="10242" max="10243" width="10.7109375" style="51" customWidth="1"/>
    <col min="10244" max="10247" width="9.28515625" style="51" customWidth="1"/>
    <col min="10248" max="10248" width="14.5703125" style="51" customWidth="1"/>
    <col min="10249" max="10249" width="17.7109375" style="51" customWidth="1"/>
    <col min="10250" max="10250" width="19.7109375" style="51" customWidth="1"/>
    <col min="10251" max="10496" width="11.5703125" style="51"/>
    <col min="10497" max="10497" width="3.7109375" style="51" customWidth="1"/>
    <col min="10498" max="10499" width="10.7109375" style="51" customWidth="1"/>
    <col min="10500" max="10503" width="9.28515625" style="51" customWidth="1"/>
    <col min="10504" max="10504" width="14.5703125" style="51" customWidth="1"/>
    <col min="10505" max="10505" width="17.7109375" style="51" customWidth="1"/>
    <col min="10506" max="10506" width="19.7109375" style="51" customWidth="1"/>
    <col min="10507" max="10752" width="11.5703125" style="51"/>
    <col min="10753" max="10753" width="3.7109375" style="51" customWidth="1"/>
    <col min="10754" max="10755" width="10.7109375" style="51" customWidth="1"/>
    <col min="10756" max="10759" width="9.28515625" style="51" customWidth="1"/>
    <col min="10760" max="10760" width="14.5703125" style="51" customWidth="1"/>
    <col min="10761" max="10761" width="17.7109375" style="51" customWidth="1"/>
    <col min="10762" max="10762" width="19.7109375" style="51" customWidth="1"/>
    <col min="10763" max="11008" width="11.5703125" style="51"/>
    <col min="11009" max="11009" width="3.7109375" style="51" customWidth="1"/>
    <col min="11010" max="11011" width="10.7109375" style="51" customWidth="1"/>
    <col min="11012" max="11015" width="9.28515625" style="51" customWidth="1"/>
    <col min="11016" max="11016" width="14.5703125" style="51" customWidth="1"/>
    <col min="11017" max="11017" width="17.7109375" style="51" customWidth="1"/>
    <col min="11018" max="11018" width="19.7109375" style="51" customWidth="1"/>
    <col min="11019" max="11264" width="11.5703125" style="51"/>
    <col min="11265" max="11265" width="3.7109375" style="51" customWidth="1"/>
    <col min="11266" max="11267" width="10.7109375" style="51" customWidth="1"/>
    <col min="11268" max="11271" width="9.28515625" style="51" customWidth="1"/>
    <col min="11272" max="11272" width="14.5703125" style="51" customWidth="1"/>
    <col min="11273" max="11273" width="17.7109375" style="51" customWidth="1"/>
    <col min="11274" max="11274" width="19.7109375" style="51" customWidth="1"/>
    <col min="11275" max="11520" width="11.5703125" style="51"/>
    <col min="11521" max="11521" width="3.7109375" style="51" customWidth="1"/>
    <col min="11522" max="11523" width="10.7109375" style="51" customWidth="1"/>
    <col min="11524" max="11527" width="9.28515625" style="51" customWidth="1"/>
    <col min="11528" max="11528" width="14.5703125" style="51" customWidth="1"/>
    <col min="11529" max="11529" width="17.7109375" style="51" customWidth="1"/>
    <col min="11530" max="11530" width="19.7109375" style="51" customWidth="1"/>
    <col min="11531" max="11776" width="11.5703125" style="51"/>
    <col min="11777" max="11777" width="3.7109375" style="51" customWidth="1"/>
    <col min="11778" max="11779" width="10.7109375" style="51" customWidth="1"/>
    <col min="11780" max="11783" width="9.28515625" style="51" customWidth="1"/>
    <col min="11784" max="11784" width="14.5703125" style="51" customWidth="1"/>
    <col min="11785" max="11785" width="17.7109375" style="51" customWidth="1"/>
    <col min="11786" max="11786" width="19.7109375" style="51" customWidth="1"/>
    <col min="11787" max="12032" width="11.5703125" style="51"/>
    <col min="12033" max="12033" width="3.7109375" style="51" customWidth="1"/>
    <col min="12034" max="12035" width="10.7109375" style="51" customWidth="1"/>
    <col min="12036" max="12039" width="9.28515625" style="51" customWidth="1"/>
    <col min="12040" max="12040" width="14.5703125" style="51" customWidth="1"/>
    <col min="12041" max="12041" width="17.7109375" style="51" customWidth="1"/>
    <col min="12042" max="12042" width="19.7109375" style="51" customWidth="1"/>
    <col min="12043" max="12288" width="11.5703125" style="51"/>
    <col min="12289" max="12289" width="3.7109375" style="51" customWidth="1"/>
    <col min="12290" max="12291" width="10.7109375" style="51" customWidth="1"/>
    <col min="12292" max="12295" width="9.28515625" style="51" customWidth="1"/>
    <col min="12296" max="12296" width="14.5703125" style="51" customWidth="1"/>
    <col min="12297" max="12297" width="17.7109375" style="51" customWidth="1"/>
    <col min="12298" max="12298" width="19.7109375" style="51" customWidth="1"/>
    <col min="12299" max="12544" width="11.5703125" style="51"/>
    <col min="12545" max="12545" width="3.7109375" style="51" customWidth="1"/>
    <col min="12546" max="12547" width="10.7109375" style="51" customWidth="1"/>
    <col min="12548" max="12551" width="9.28515625" style="51" customWidth="1"/>
    <col min="12552" max="12552" width="14.5703125" style="51" customWidth="1"/>
    <col min="12553" max="12553" width="17.7109375" style="51" customWidth="1"/>
    <col min="12554" max="12554" width="19.7109375" style="51" customWidth="1"/>
    <col min="12555" max="12800" width="11.5703125" style="51"/>
    <col min="12801" max="12801" width="3.7109375" style="51" customWidth="1"/>
    <col min="12802" max="12803" width="10.7109375" style="51" customWidth="1"/>
    <col min="12804" max="12807" width="9.28515625" style="51" customWidth="1"/>
    <col min="12808" max="12808" width="14.5703125" style="51" customWidth="1"/>
    <col min="12809" max="12809" width="17.7109375" style="51" customWidth="1"/>
    <col min="12810" max="12810" width="19.7109375" style="51" customWidth="1"/>
    <col min="12811" max="13056" width="11.5703125" style="51"/>
    <col min="13057" max="13057" width="3.7109375" style="51" customWidth="1"/>
    <col min="13058" max="13059" width="10.7109375" style="51" customWidth="1"/>
    <col min="13060" max="13063" width="9.28515625" style="51" customWidth="1"/>
    <col min="13064" max="13064" width="14.5703125" style="51" customWidth="1"/>
    <col min="13065" max="13065" width="17.7109375" style="51" customWidth="1"/>
    <col min="13066" max="13066" width="19.7109375" style="51" customWidth="1"/>
    <col min="13067" max="13312" width="11.5703125" style="51"/>
    <col min="13313" max="13313" width="3.7109375" style="51" customWidth="1"/>
    <col min="13314" max="13315" width="10.7109375" style="51" customWidth="1"/>
    <col min="13316" max="13319" width="9.28515625" style="51" customWidth="1"/>
    <col min="13320" max="13320" width="14.5703125" style="51" customWidth="1"/>
    <col min="13321" max="13321" width="17.7109375" style="51" customWidth="1"/>
    <col min="13322" max="13322" width="19.7109375" style="51" customWidth="1"/>
    <col min="13323" max="13568" width="11.5703125" style="51"/>
    <col min="13569" max="13569" width="3.7109375" style="51" customWidth="1"/>
    <col min="13570" max="13571" width="10.7109375" style="51" customWidth="1"/>
    <col min="13572" max="13575" width="9.28515625" style="51" customWidth="1"/>
    <col min="13576" max="13576" width="14.5703125" style="51" customWidth="1"/>
    <col min="13577" max="13577" width="17.7109375" style="51" customWidth="1"/>
    <col min="13578" max="13578" width="19.7109375" style="51" customWidth="1"/>
    <col min="13579" max="13824" width="11.5703125" style="51"/>
    <col min="13825" max="13825" width="3.7109375" style="51" customWidth="1"/>
    <col min="13826" max="13827" width="10.7109375" style="51" customWidth="1"/>
    <col min="13828" max="13831" width="9.28515625" style="51" customWidth="1"/>
    <col min="13832" max="13832" width="14.5703125" style="51" customWidth="1"/>
    <col min="13833" max="13833" width="17.7109375" style="51" customWidth="1"/>
    <col min="13834" max="13834" width="19.7109375" style="51" customWidth="1"/>
    <col min="13835" max="14080" width="11.5703125" style="51"/>
    <col min="14081" max="14081" width="3.7109375" style="51" customWidth="1"/>
    <col min="14082" max="14083" width="10.7109375" style="51" customWidth="1"/>
    <col min="14084" max="14087" width="9.28515625" style="51" customWidth="1"/>
    <col min="14088" max="14088" width="14.5703125" style="51" customWidth="1"/>
    <col min="14089" max="14089" width="17.7109375" style="51" customWidth="1"/>
    <col min="14090" max="14090" width="19.7109375" style="51" customWidth="1"/>
    <col min="14091" max="14336" width="11.5703125" style="51"/>
    <col min="14337" max="14337" width="3.7109375" style="51" customWidth="1"/>
    <col min="14338" max="14339" width="10.7109375" style="51" customWidth="1"/>
    <col min="14340" max="14343" width="9.28515625" style="51" customWidth="1"/>
    <col min="14344" max="14344" width="14.5703125" style="51" customWidth="1"/>
    <col min="14345" max="14345" width="17.7109375" style="51" customWidth="1"/>
    <col min="14346" max="14346" width="19.7109375" style="51" customWidth="1"/>
    <col min="14347" max="14592" width="11.5703125" style="51"/>
    <col min="14593" max="14593" width="3.7109375" style="51" customWidth="1"/>
    <col min="14594" max="14595" width="10.7109375" style="51" customWidth="1"/>
    <col min="14596" max="14599" width="9.28515625" style="51" customWidth="1"/>
    <col min="14600" max="14600" width="14.5703125" style="51" customWidth="1"/>
    <col min="14601" max="14601" width="17.7109375" style="51" customWidth="1"/>
    <col min="14602" max="14602" width="19.7109375" style="51" customWidth="1"/>
    <col min="14603" max="14848" width="11.5703125" style="51"/>
    <col min="14849" max="14849" width="3.7109375" style="51" customWidth="1"/>
    <col min="14850" max="14851" width="10.7109375" style="51" customWidth="1"/>
    <col min="14852" max="14855" width="9.28515625" style="51" customWidth="1"/>
    <col min="14856" max="14856" width="14.5703125" style="51" customWidth="1"/>
    <col min="14857" max="14857" width="17.7109375" style="51" customWidth="1"/>
    <col min="14858" max="14858" width="19.7109375" style="51" customWidth="1"/>
    <col min="14859" max="15104" width="11.5703125" style="51"/>
    <col min="15105" max="15105" width="3.7109375" style="51" customWidth="1"/>
    <col min="15106" max="15107" width="10.7109375" style="51" customWidth="1"/>
    <col min="15108" max="15111" width="9.28515625" style="51" customWidth="1"/>
    <col min="15112" max="15112" width="14.5703125" style="51" customWidth="1"/>
    <col min="15113" max="15113" width="17.7109375" style="51" customWidth="1"/>
    <col min="15114" max="15114" width="19.7109375" style="51" customWidth="1"/>
    <col min="15115" max="15360" width="11.5703125" style="51"/>
    <col min="15361" max="15361" width="3.7109375" style="51" customWidth="1"/>
    <col min="15362" max="15363" width="10.7109375" style="51" customWidth="1"/>
    <col min="15364" max="15367" width="9.28515625" style="51" customWidth="1"/>
    <col min="15368" max="15368" width="14.5703125" style="51" customWidth="1"/>
    <col min="15369" max="15369" width="17.7109375" style="51" customWidth="1"/>
    <col min="15370" max="15370" width="19.7109375" style="51" customWidth="1"/>
    <col min="15371" max="15616" width="11.5703125" style="51"/>
    <col min="15617" max="15617" width="3.7109375" style="51" customWidth="1"/>
    <col min="15618" max="15619" width="10.7109375" style="51" customWidth="1"/>
    <col min="15620" max="15623" width="9.28515625" style="51" customWidth="1"/>
    <col min="15624" max="15624" width="14.5703125" style="51" customWidth="1"/>
    <col min="15625" max="15625" width="17.7109375" style="51" customWidth="1"/>
    <col min="15626" max="15626" width="19.7109375" style="51" customWidth="1"/>
    <col min="15627" max="15872" width="11.5703125" style="51"/>
    <col min="15873" max="15873" width="3.7109375" style="51" customWidth="1"/>
    <col min="15874" max="15875" width="10.7109375" style="51" customWidth="1"/>
    <col min="15876" max="15879" width="9.28515625" style="51" customWidth="1"/>
    <col min="15880" max="15880" width="14.5703125" style="51" customWidth="1"/>
    <col min="15881" max="15881" width="17.7109375" style="51" customWidth="1"/>
    <col min="15882" max="15882" width="19.7109375" style="51" customWidth="1"/>
    <col min="15883" max="16128" width="11.5703125" style="51"/>
    <col min="16129" max="16129" width="3.7109375" style="51" customWidth="1"/>
    <col min="16130" max="16131" width="10.7109375" style="51" customWidth="1"/>
    <col min="16132" max="16135" width="9.28515625" style="51" customWidth="1"/>
    <col min="16136" max="16136" width="14.5703125" style="51" customWidth="1"/>
    <col min="16137" max="16137" width="17.7109375" style="51" customWidth="1"/>
    <col min="16138" max="16138" width="19.7109375" style="51" customWidth="1"/>
    <col min="16139" max="16384" width="11.5703125" style="51"/>
  </cols>
  <sheetData>
    <row r="1" spans="1:256" ht="12.75" customHeight="1" x14ac:dyDescent="0.2">
      <c r="C1" s="199" t="s">
        <v>295</v>
      </c>
      <c r="D1" s="199"/>
      <c r="E1" s="199"/>
      <c r="F1" s="199"/>
      <c r="G1" s="199"/>
      <c r="H1" s="199"/>
      <c r="I1" s="199"/>
    </row>
    <row r="2" spans="1:256" x14ac:dyDescent="0.2">
      <c r="F2" s="51"/>
      <c r="G2" s="51"/>
      <c r="H2" s="51"/>
      <c r="I2" s="51"/>
    </row>
    <row r="3" spans="1:256" s="52" customFormat="1" ht="15.75" x14ac:dyDescent="0.25">
      <c r="A3" s="50"/>
      <c r="B3" s="50"/>
      <c r="C3" s="50"/>
      <c r="D3" s="50"/>
      <c r="E3" s="50"/>
      <c r="F3" s="51"/>
      <c r="G3" s="51"/>
      <c r="H3" s="51"/>
      <c r="I3" s="51"/>
    </row>
    <row r="4" spans="1:256" s="52" customFormat="1" ht="15.75" x14ac:dyDescent="0.25">
      <c r="A4" s="92" t="s">
        <v>230</v>
      </c>
      <c r="B4" s="93"/>
      <c r="C4" s="94"/>
      <c r="G4" s="92" t="s">
        <v>231</v>
      </c>
      <c r="H4"/>
    </row>
    <row r="5" spans="1:256" s="52" customFormat="1" ht="15.75" x14ac:dyDescent="0.25">
      <c r="A5" s="95" t="s">
        <v>232</v>
      </c>
      <c r="B5" s="96"/>
      <c r="C5" s="94"/>
      <c r="G5" s="95" t="s">
        <v>233</v>
      </c>
      <c r="H5"/>
    </row>
    <row r="6" spans="1:256" s="52" customFormat="1" ht="15.75" x14ac:dyDescent="0.25">
      <c r="A6" s="97" t="s">
        <v>4</v>
      </c>
      <c r="B6" s="98"/>
      <c r="C6" s="20"/>
      <c r="G6" s="97" t="s">
        <v>234</v>
      </c>
      <c r="H6" s="99"/>
    </row>
    <row r="7" spans="1:256" s="52" customFormat="1" ht="15.75" x14ac:dyDescent="0.25">
      <c r="A7" s="97" t="s">
        <v>235</v>
      </c>
      <c r="B7" s="98"/>
      <c r="C7" s="100"/>
      <c r="G7" s="97" t="s">
        <v>5</v>
      </c>
      <c r="H7" s="101"/>
    </row>
    <row r="8" spans="1:256" s="52" customFormat="1" ht="15.75" x14ac:dyDescent="0.25">
      <c r="A8"/>
      <c r="B8" s="102"/>
      <c r="C8"/>
      <c r="G8" s="97"/>
      <c r="H8" s="99"/>
    </row>
    <row r="9" spans="1:256" s="52" customFormat="1" ht="15.75" x14ac:dyDescent="0.25">
      <c r="A9" s="97" t="s">
        <v>236</v>
      </c>
      <c r="B9" s="98"/>
      <c r="C9" s="1"/>
      <c r="G9" s="97" t="s">
        <v>237</v>
      </c>
      <c r="H9" s="99"/>
    </row>
    <row r="10" spans="1:256" s="52" customFormat="1" ht="33.75" customHeight="1" x14ac:dyDescent="0.25">
      <c r="A10" s="97" t="s">
        <v>310</v>
      </c>
      <c r="B10" s="98"/>
      <c r="C10" s="1"/>
      <c r="G10" s="97" t="s">
        <v>311</v>
      </c>
      <c r="H10" s="98"/>
      <c r="I10" s="54"/>
    </row>
    <row r="11" spans="1:256" ht="13.5" customHeight="1" x14ac:dyDescent="0.2">
      <c r="A11" s="200" t="s">
        <v>187</v>
      </c>
      <c r="B11" s="200"/>
      <c r="C11" s="200"/>
      <c r="D11" s="200"/>
      <c r="E11" s="200"/>
      <c r="F11" s="200"/>
      <c r="G11" s="200"/>
      <c r="H11" s="200"/>
      <c r="I11" s="200"/>
    </row>
    <row r="12" spans="1:256" ht="15.75" customHeight="1" x14ac:dyDescent="0.2">
      <c r="A12" s="201" t="s">
        <v>159</v>
      </c>
      <c r="B12" s="202"/>
      <c r="C12" s="202"/>
      <c r="D12" s="202"/>
      <c r="E12" s="202"/>
      <c r="F12" s="202"/>
      <c r="G12" s="202"/>
      <c r="H12" s="202"/>
      <c r="I12" s="202"/>
    </row>
    <row r="13" spans="1:256" x14ac:dyDescent="0.2">
      <c r="A13" s="55"/>
      <c r="B13" s="56"/>
      <c r="C13" s="57"/>
      <c r="D13" s="57"/>
      <c r="E13" s="57"/>
      <c r="F13" s="56"/>
      <c r="G13" s="56"/>
      <c r="H13" s="56"/>
      <c r="I13" s="56"/>
      <c r="J13" s="56"/>
      <c r="K13" s="56"/>
      <c r="L13" s="56"/>
      <c r="M13" s="56"/>
      <c r="N13" s="56"/>
      <c r="O13" s="56"/>
      <c r="P13" s="56"/>
      <c r="Q13" s="56"/>
      <c r="R13" s="56"/>
      <c r="S13" s="56"/>
      <c r="T13" s="56"/>
      <c r="U13" s="56"/>
      <c r="V13" s="56"/>
      <c r="W13" s="56"/>
      <c r="X13" s="56"/>
      <c r="Y13" s="56"/>
      <c r="Z13" s="56"/>
      <c r="AA13" s="56"/>
      <c r="AB13" s="56"/>
      <c r="AC13" s="56"/>
      <c r="AD13" s="56"/>
      <c r="AE13" s="56"/>
      <c r="AF13" s="56"/>
      <c r="AG13" s="56"/>
      <c r="AH13" s="56"/>
      <c r="AI13" s="56"/>
      <c r="AJ13" s="56"/>
      <c r="AK13" s="56"/>
      <c r="AL13" s="56"/>
      <c r="AM13" s="56"/>
      <c r="AN13" s="56"/>
      <c r="AO13" s="56"/>
      <c r="AP13" s="56"/>
      <c r="AQ13" s="56"/>
      <c r="AR13" s="56"/>
      <c r="AS13" s="56"/>
      <c r="AT13" s="56"/>
      <c r="AU13" s="56"/>
      <c r="AV13" s="56"/>
      <c r="AW13" s="56"/>
      <c r="AX13" s="56"/>
      <c r="AY13" s="56"/>
      <c r="AZ13" s="56"/>
      <c r="BA13" s="56"/>
      <c r="BB13" s="56"/>
      <c r="BC13" s="56"/>
      <c r="BD13" s="56"/>
      <c r="BE13" s="56"/>
      <c r="BF13" s="56"/>
      <c r="BG13" s="56"/>
      <c r="BH13" s="56"/>
      <c r="BI13" s="56"/>
      <c r="BJ13" s="56"/>
      <c r="BK13" s="56"/>
      <c r="BL13" s="56"/>
      <c r="BM13" s="56"/>
      <c r="BN13" s="56"/>
      <c r="BO13" s="56"/>
      <c r="BP13" s="56"/>
      <c r="BQ13" s="56"/>
      <c r="BR13" s="56"/>
      <c r="BS13" s="56"/>
      <c r="BT13" s="56"/>
      <c r="BU13" s="56"/>
      <c r="BV13" s="56"/>
      <c r="BW13" s="56"/>
      <c r="BX13" s="56"/>
      <c r="BY13" s="56"/>
      <c r="BZ13" s="56"/>
      <c r="CA13" s="56"/>
      <c r="CB13" s="56"/>
      <c r="CC13" s="56"/>
      <c r="CD13" s="56"/>
      <c r="CE13" s="56"/>
      <c r="CF13" s="56"/>
      <c r="CG13" s="56"/>
      <c r="CH13" s="56"/>
      <c r="CI13" s="56"/>
      <c r="CJ13" s="56"/>
      <c r="CK13" s="56"/>
      <c r="CL13" s="56"/>
      <c r="CM13" s="56"/>
      <c r="CN13" s="56"/>
      <c r="CO13" s="56"/>
      <c r="CP13" s="56"/>
      <c r="CQ13" s="56"/>
      <c r="CR13" s="56"/>
      <c r="CS13" s="56"/>
      <c r="CT13" s="56"/>
      <c r="CU13" s="56"/>
      <c r="CV13" s="56"/>
      <c r="CW13" s="56"/>
      <c r="CX13" s="56"/>
      <c r="CY13" s="56"/>
      <c r="CZ13" s="56"/>
      <c r="DA13" s="56"/>
      <c r="DB13" s="56"/>
      <c r="DC13" s="56"/>
      <c r="DD13" s="56"/>
      <c r="DE13" s="56"/>
      <c r="DF13" s="56"/>
      <c r="DG13" s="56"/>
      <c r="DH13" s="56"/>
      <c r="DI13" s="56"/>
      <c r="DJ13" s="56"/>
      <c r="DK13" s="56"/>
      <c r="DL13" s="56"/>
      <c r="DM13" s="56"/>
      <c r="DN13" s="56"/>
      <c r="DO13" s="56"/>
      <c r="DP13" s="56"/>
      <c r="DQ13" s="56"/>
      <c r="DR13" s="56"/>
      <c r="DS13" s="56"/>
      <c r="DT13" s="56"/>
      <c r="DU13" s="56"/>
      <c r="DV13" s="56"/>
      <c r="DW13" s="56"/>
      <c r="DX13" s="56"/>
      <c r="DY13" s="56"/>
      <c r="DZ13" s="56"/>
      <c r="EA13" s="56"/>
      <c r="EB13" s="56"/>
      <c r="EC13" s="56"/>
      <c r="ED13" s="56"/>
      <c r="EE13" s="56"/>
      <c r="EF13" s="56"/>
      <c r="EG13" s="56"/>
      <c r="EH13" s="56"/>
      <c r="EI13" s="56"/>
      <c r="EJ13" s="56"/>
      <c r="EK13" s="56"/>
      <c r="EL13" s="56"/>
      <c r="EM13" s="56"/>
      <c r="EN13" s="56"/>
      <c r="EO13" s="56"/>
      <c r="EP13" s="56"/>
      <c r="EQ13" s="56"/>
      <c r="ER13" s="56"/>
      <c r="ES13" s="56"/>
      <c r="ET13" s="56"/>
      <c r="EU13" s="56"/>
      <c r="EV13" s="56"/>
      <c r="EW13" s="56"/>
      <c r="EX13" s="56"/>
      <c r="EY13" s="56"/>
      <c r="EZ13" s="56"/>
      <c r="FA13" s="56"/>
      <c r="FB13" s="56"/>
      <c r="FC13" s="56"/>
      <c r="FD13" s="56"/>
      <c r="FE13" s="56"/>
      <c r="FF13" s="56"/>
      <c r="FG13" s="56"/>
      <c r="FH13" s="56"/>
      <c r="FI13" s="56"/>
      <c r="FJ13" s="56"/>
      <c r="FK13" s="56"/>
      <c r="FL13" s="56"/>
      <c r="FM13" s="56"/>
      <c r="FN13" s="56"/>
      <c r="FO13" s="56"/>
      <c r="FP13" s="56"/>
      <c r="FQ13" s="56"/>
      <c r="FR13" s="56"/>
      <c r="FS13" s="56"/>
      <c r="FT13" s="56"/>
      <c r="FU13" s="56"/>
      <c r="FV13" s="56"/>
      <c r="FW13" s="56"/>
      <c r="FX13" s="56"/>
      <c r="FY13" s="56"/>
      <c r="FZ13" s="56"/>
      <c r="GA13" s="56"/>
      <c r="GB13" s="56"/>
      <c r="GC13" s="56"/>
      <c r="GD13" s="56"/>
      <c r="GE13" s="56"/>
      <c r="GF13" s="56"/>
      <c r="GG13" s="56"/>
      <c r="GH13" s="56"/>
      <c r="GI13" s="56"/>
      <c r="GJ13" s="56"/>
      <c r="GK13" s="56"/>
      <c r="GL13" s="56"/>
      <c r="GM13" s="56"/>
      <c r="GN13" s="56"/>
      <c r="GO13" s="56"/>
      <c r="GP13" s="56"/>
      <c r="GQ13" s="56"/>
      <c r="GR13" s="56"/>
      <c r="GS13" s="56"/>
      <c r="GT13" s="56"/>
      <c r="GU13" s="56"/>
      <c r="GV13" s="56"/>
      <c r="GW13" s="56"/>
      <c r="GX13" s="56"/>
      <c r="GY13" s="56"/>
      <c r="GZ13" s="56"/>
      <c r="HA13" s="56"/>
      <c r="HB13" s="56"/>
      <c r="HC13" s="56"/>
      <c r="HD13" s="56"/>
      <c r="HE13" s="56"/>
      <c r="HF13" s="56"/>
      <c r="HG13" s="56"/>
      <c r="HH13" s="56"/>
      <c r="HI13" s="56"/>
      <c r="HJ13" s="56"/>
      <c r="HK13" s="56"/>
      <c r="HL13" s="56"/>
      <c r="HM13" s="56"/>
      <c r="HN13" s="56"/>
      <c r="HO13" s="56"/>
      <c r="HP13" s="56"/>
      <c r="HQ13" s="56"/>
      <c r="HR13" s="56"/>
      <c r="HS13" s="56"/>
      <c r="HT13" s="56"/>
      <c r="HU13" s="56"/>
      <c r="HV13" s="56"/>
      <c r="HW13" s="56"/>
      <c r="HX13" s="56"/>
      <c r="HY13" s="56"/>
      <c r="HZ13" s="56"/>
      <c r="IA13" s="56"/>
      <c r="IB13" s="56"/>
      <c r="IC13" s="56"/>
      <c r="ID13" s="56"/>
      <c r="IE13" s="56"/>
      <c r="IF13" s="56"/>
      <c r="IG13" s="56"/>
      <c r="IH13" s="56"/>
      <c r="II13" s="56"/>
      <c r="IJ13" s="56"/>
      <c r="IK13" s="56"/>
      <c r="IL13" s="56"/>
      <c r="IM13" s="56"/>
      <c r="IN13" s="56"/>
      <c r="IO13" s="56"/>
      <c r="IP13" s="56"/>
      <c r="IQ13" s="56"/>
      <c r="IR13" s="56"/>
      <c r="IS13" s="56"/>
      <c r="IT13" s="56"/>
      <c r="IU13" s="56"/>
      <c r="IV13" s="56"/>
    </row>
    <row r="14" spans="1:256" ht="60" customHeight="1" x14ac:dyDescent="0.25">
      <c r="A14" s="203" t="s">
        <v>229</v>
      </c>
      <c r="B14" s="203"/>
      <c r="C14" s="203"/>
      <c r="D14" s="203"/>
      <c r="E14" s="203"/>
      <c r="F14" s="203"/>
      <c r="G14" s="203"/>
      <c r="H14" s="203"/>
      <c r="I14" s="203"/>
      <c r="J14" s="58"/>
      <c r="K14" s="56"/>
      <c r="L14" s="56"/>
      <c r="M14" s="56"/>
      <c r="N14" s="56"/>
      <c r="O14" s="56"/>
      <c r="P14" s="56"/>
      <c r="Q14" s="56"/>
      <c r="R14" s="56"/>
      <c r="S14" s="56"/>
      <c r="T14" s="56"/>
      <c r="U14" s="56"/>
      <c r="V14" s="56"/>
      <c r="W14" s="56"/>
      <c r="X14" s="56"/>
      <c r="Y14" s="56"/>
      <c r="Z14" s="56"/>
      <c r="AA14" s="56"/>
      <c r="AB14" s="56"/>
      <c r="AC14" s="56"/>
      <c r="AD14" s="56"/>
      <c r="AE14" s="56"/>
      <c r="AF14" s="56"/>
      <c r="AG14" s="56"/>
      <c r="AH14" s="56"/>
      <c r="AI14" s="56"/>
      <c r="AJ14" s="56"/>
      <c r="AK14" s="56"/>
      <c r="AL14" s="56"/>
      <c r="AM14" s="56"/>
      <c r="AN14" s="56"/>
      <c r="AO14" s="56"/>
      <c r="AP14" s="56"/>
      <c r="AQ14" s="56"/>
      <c r="AR14" s="56"/>
      <c r="AS14" s="56"/>
      <c r="AT14" s="56"/>
      <c r="AU14" s="56"/>
      <c r="AV14" s="56"/>
      <c r="AW14" s="56"/>
      <c r="AX14" s="56"/>
      <c r="AY14" s="56"/>
      <c r="AZ14" s="56"/>
      <c r="BA14" s="56"/>
      <c r="BB14" s="56"/>
      <c r="BC14" s="56"/>
      <c r="BD14" s="56"/>
      <c r="BE14" s="56"/>
      <c r="BF14" s="56"/>
      <c r="BG14" s="56"/>
      <c r="BH14" s="56"/>
      <c r="BI14" s="56"/>
      <c r="BJ14" s="56"/>
      <c r="BK14" s="56"/>
      <c r="BL14" s="56"/>
      <c r="BM14" s="56"/>
      <c r="BN14" s="56"/>
      <c r="BO14" s="56"/>
      <c r="BP14" s="56"/>
      <c r="BQ14" s="56"/>
      <c r="BR14" s="56"/>
      <c r="BS14" s="56"/>
      <c r="BT14" s="56"/>
      <c r="BU14" s="56"/>
      <c r="BV14" s="56"/>
      <c r="BW14" s="56"/>
      <c r="BX14" s="56"/>
      <c r="BY14" s="56"/>
      <c r="BZ14" s="56"/>
      <c r="CA14" s="56"/>
      <c r="CB14" s="56"/>
      <c r="CC14" s="56"/>
      <c r="CD14" s="56"/>
      <c r="CE14" s="56"/>
      <c r="CF14" s="56"/>
      <c r="CG14" s="56"/>
      <c r="CH14" s="56"/>
      <c r="CI14" s="56"/>
      <c r="CJ14" s="56"/>
      <c r="CK14" s="56"/>
      <c r="CL14" s="56"/>
      <c r="CM14" s="56"/>
      <c r="CN14" s="56"/>
      <c r="CO14" s="56"/>
      <c r="CP14" s="56"/>
      <c r="CQ14" s="56"/>
      <c r="CR14" s="56"/>
      <c r="CS14" s="56"/>
      <c r="CT14" s="56"/>
      <c r="CU14" s="56"/>
      <c r="CV14" s="56"/>
      <c r="CW14" s="56"/>
      <c r="CX14" s="56"/>
      <c r="CY14" s="56"/>
      <c r="CZ14" s="56"/>
      <c r="DA14" s="56"/>
      <c r="DB14" s="56"/>
      <c r="DC14" s="56"/>
      <c r="DD14" s="56"/>
      <c r="DE14" s="56"/>
      <c r="DF14" s="56"/>
      <c r="DG14" s="56"/>
      <c r="DH14" s="56"/>
      <c r="DI14" s="56"/>
      <c r="DJ14" s="56"/>
      <c r="DK14" s="56"/>
      <c r="DL14" s="56"/>
      <c r="DM14" s="56"/>
      <c r="DN14" s="56"/>
      <c r="DO14" s="56"/>
      <c r="DP14" s="56"/>
      <c r="DQ14" s="56"/>
      <c r="DR14" s="56"/>
      <c r="DS14" s="56"/>
      <c r="DT14" s="56"/>
      <c r="DU14" s="56"/>
      <c r="DV14" s="56"/>
      <c r="DW14" s="56"/>
      <c r="DX14" s="56"/>
      <c r="DY14" s="56"/>
      <c r="DZ14" s="56"/>
      <c r="EA14" s="56"/>
      <c r="EB14" s="56"/>
      <c r="EC14" s="56"/>
      <c r="ED14" s="56"/>
      <c r="EE14" s="56"/>
      <c r="EF14" s="56"/>
      <c r="EG14" s="56"/>
      <c r="EH14" s="56"/>
      <c r="EI14" s="56"/>
      <c r="EJ14" s="56"/>
      <c r="EK14" s="56"/>
      <c r="EL14" s="56"/>
      <c r="EM14" s="56"/>
      <c r="EN14" s="56"/>
      <c r="EO14" s="56"/>
      <c r="EP14" s="56"/>
      <c r="EQ14" s="56"/>
      <c r="ER14" s="56"/>
      <c r="ES14" s="56"/>
      <c r="ET14" s="56"/>
      <c r="EU14" s="56"/>
      <c r="EV14" s="56"/>
      <c r="EW14" s="56"/>
      <c r="EX14" s="56"/>
      <c r="EY14" s="56"/>
      <c r="EZ14" s="56"/>
      <c r="FA14" s="56"/>
      <c r="FB14" s="56"/>
      <c r="FC14" s="56"/>
      <c r="FD14" s="56"/>
      <c r="FE14" s="56"/>
      <c r="FF14" s="56"/>
      <c r="FG14" s="56"/>
      <c r="FH14" s="56"/>
      <c r="FI14" s="56"/>
      <c r="FJ14" s="56"/>
      <c r="FK14" s="56"/>
      <c r="FL14" s="56"/>
      <c r="FM14" s="56"/>
      <c r="FN14" s="56"/>
      <c r="FO14" s="56"/>
      <c r="FP14" s="56"/>
      <c r="FQ14" s="56"/>
      <c r="FR14" s="56"/>
      <c r="FS14" s="56"/>
      <c r="FT14" s="56"/>
      <c r="FU14" s="56"/>
      <c r="FV14" s="56"/>
      <c r="FW14" s="56"/>
      <c r="FX14" s="56"/>
      <c r="FY14" s="56"/>
      <c r="FZ14" s="56"/>
      <c r="GA14" s="56"/>
      <c r="GB14" s="56"/>
      <c r="GC14" s="56"/>
      <c r="GD14" s="56"/>
      <c r="GE14" s="56"/>
      <c r="GF14" s="56"/>
      <c r="GG14" s="56"/>
      <c r="GH14" s="56"/>
      <c r="GI14" s="56"/>
      <c r="GJ14" s="56"/>
      <c r="GK14" s="56"/>
      <c r="GL14" s="56"/>
      <c r="GM14" s="56"/>
      <c r="GN14" s="56"/>
      <c r="GO14" s="56"/>
      <c r="GP14" s="56"/>
      <c r="GQ14" s="56"/>
      <c r="GR14" s="56"/>
      <c r="GS14" s="56"/>
      <c r="GT14" s="56"/>
      <c r="GU14" s="56"/>
      <c r="GV14" s="56"/>
      <c r="GW14" s="56"/>
      <c r="GX14" s="56"/>
      <c r="GY14" s="56"/>
      <c r="GZ14" s="56"/>
      <c r="HA14" s="56"/>
      <c r="HB14" s="56"/>
      <c r="HC14" s="56"/>
      <c r="HD14" s="56"/>
      <c r="HE14" s="56"/>
      <c r="HF14" s="56"/>
      <c r="HG14" s="56"/>
      <c r="HH14" s="56"/>
      <c r="HI14" s="56"/>
      <c r="HJ14" s="56"/>
      <c r="HK14" s="56"/>
      <c r="HL14" s="56"/>
      <c r="HM14" s="56"/>
      <c r="HN14" s="56"/>
      <c r="HO14" s="56"/>
      <c r="HP14" s="56"/>
      <c r="HQ14" s="56"/>
      <c r="HR14" s="56"/>
      <c r="HS14" s="56"/>
      <c r="HT14" s="56"/>
      <c r="HU14" s="56"/>
      <c r="HV14" s="56"/>
      <c r="HW14" s="56"/>
      <c r="HX14" s="56"/>
      <c r="HY14" s="56"/>
      <c r="HZ14" s="56"/>
      <c r="IA14" s="56"/>
      <c r="IB14" s="56"/>
      <c r="IC14" s="56"/>
      <c r="ID14" s="56"/>
      <c r="IE14" s="56"/>
      <c r="IF14" s="56"/>
      <c r="IG14" s="56"/>
      <c r="IH14" s="56"/>
      <c r="II14" s="56"/>
      <c r="IJ14" s="56"/>
      <c r="IK14" s="56"/>
      <c r="IL14" s="56"/>
      <c r="IM14" s="56"/>
      <c r="IN14" s="56"/>
      <c r="IO14" s="56"/>
      <c r="IP14" s="56"/>
      <c r="IQ14" s="56"/>
      <c r="IR14" s="56"/>
      <c r="IS14" s="56"/>
      <c r="IT14" s="56"/>
      <c r="IU14" s="56"/>
      <c r="IV14" s="56"/>
    </row>
    <row r="15" spans="1:256" ht="9.75" customHeight="1" x14ac:dyDescent="0.25">
      <c r="A15" s="59"/>
      <c r="B15" s="59"/>
      <c r="C15" s="59"/>
      <c r="D15" s="59"/>
      <c r="E15" s="59"/>
      <c r="F15" s="59"/>
      <c r="G15" s="59"/>
      <c r="H15" s="59"/>
      <c r="I15" s="59"/>
      <c r="J15" s="58"/>
      <c r="K15" s="56"/>
      <c r="L15" s="56"/>
      <c r="M15" s="56"/>
      <c r="N15" s="56"/>
      <c r="O15" s="56"/>
      <c r="P15" s="56"/>
      <c r="Q15" s="56"/>
      <c r="R15" s="56"/>
      <c r="S15" s="56"/>
      <c r="T15" s="56"/>
      <c r="U15" s="56"/>
      <c r="V15" s="56"/>
      <c r="W15" s="56"/>
      <c r="X15" s="56"/>
      <c r="Y15" s="56"/>
      <c r="Z15" s="56"/>
      <c r="AA15" s="56"/>
      <c r="AB15" s="56"/>
      <c r="AC15" s="56"/>
      <c r="AD15" s="56"/>
      <c r="AE15" s="56"/>
      <c r="AF15" s="56"/>
      <c r="AG15" s="56"/>
      <c r="AH15" s="56"/>
      <c r="AI15" s="56"/>
      <c r="AJ15" s="56"/>
      <c r="AK15" s="56"/>
      <c r="AL15" s="56"/>
      <c r="AM15" s="56"/>
      <c r="AN15" s="56"/>
      <c r="AO15" s="56"/>
      <c r="AP15" s="56"/>
      <c r="AQ15" s="56"/>
      <c r="AR15" s="56"/>
      <c r="AS15" s="56"/>
      <c r="AT15" s="56"/>
      <c r="AU15" s="56"/>
      <c r="AV15" s="56"/>
      <c r="AW15" s="56"/>
      <c r="AX15" s="56"/>
      <c r="AY15" s="56"/>
      <c r="AZ15" s="56"/>
      <c r="BA15" s="56"/>
      <c r="BB15" s="56"/>
      <c r="BC15" s="56"/>
      <c r="BD15" s="56"/>
      <c r="BE15" s="56"/>
      <c r="BF15" s="56"/>
      <c r="BG15" s="56"/>
      <c r="BH15" s="56"/>
      <c r="BI15" s="56"/>
      <c r="BJ15" s="56"/>
      <c r="BK15" s="56"/>
      <c r="BL15" s="56"/>
      <c r="BM15" s="56"/>
      <c r="BN15" s="56"/>
      <c r="BO15" s="56"/>
      <c r="BP15" s="56"/>
      <c r="BQ15" s="56"/>
      <c r="BR15" s="56"/>
      <c r="BS15" s="56"/>
      <c r="BT15" s="56"/>
      <c r="BU15" s="56"/>
      <c r="BV15" s="56"/>
      <c r="BW15" s="56"/>
      <c r="BX15" s="56"/>
      <c r="BY15" s="56"/>
      <c r="BZ15" s="56"/>
      <c r="CA15" s="56"/>
      <c r="CB15" s="56"/>
      <c r="CC15" s="56"/>
      <c r="CD15" s="56"/>
      <c r="CE15" s="56"/>
      <c r="CF15" s="56"/>
      <c r="CG15" s="56"/>
      <c r="CH15" s="56"/>
      <c r="CI15" s="56"/>
      <c r="CJ15" s="56"/>
      <c r="CK15" s="56"/>
      <c r="CL15" s="56"/>
      <c r="CM15" s="56"/>
      <c r="CN15" s="56"/>
      <c r="CO15" s="56"/>
      <c r="CP15" s="56"/>
      <c r="CQ15" s="56"/>
      <c r="CR15" s="56"/>
      <c r="CS15" s="56"/>
      <c r="CT15" s="56"/>
      <c r="CU15" s="56"/>
      <c r="CV15" s="56"/>
      <c r="CW15" s="56"/>
      <c r="CX15" s="56"/>
      <c r="CY15" s="56"/>
      <c r="CZ15" s="56"/>
      <c r="DA15" s="56"/>
      <c r="DB15" s="56"/>
      <c r="DC15" s="56"/>
      <c r="DD15" s="56"/>
      <c r="DE15" s="56"/>
      <c r="DF15" s="56"/>
      <c r="DG15" s="56"/>
      <c r="DH15" s="56"/>
      <c r="DI15" s="56"/>
      <c r="DJ15" s="56"/>
      <c r="DK15" s="56"/>
      <c r="DL15" s="56"/>
      <c r="DM15" s="56"/>
      <c r="DN15" s="56"/>
      <c r="DO15" s="56"/>
      <c r="DP15" s="56"/>
      <c r="DQ15" s="56"/>
      <c r="DR15" s="56"/>
      <c r="DS15" s="56"/>
      <c r="DT15" s="56"/>
      <c r="DU15" s="56"/>
      <c r="DV15" s="56"/>
      <c r="DW15" s="56"/>
      <c r="DX15" s="56"/>
      <c r="DY15" s="56"/>
      <c r="DZ15" s="56"/>
      <c r="EA15" s="56"/>
      <c r="EB15" s="56"/>
      <c r="EC15" s="56"/>
      <c r="ED15" s="56"/>
      <c r="EE15" s="56"/>
      <c r="EF15" s="56"/>
      <c r="EG15" s="56"/>
      <c r="EH15" s="56"/>
      <c r="EI15" s="56"/>
      <c r="EJ15" s="56"/>
      <c r="EK15" s="56"/>
      <c r="EL15" s="56"/>
      <c r="EM15" s="56"/>
      <c r="EN15" s="56"/>
      <c r="EO15" s="56"/>
      <c r="EP15" s="56"/>
      <c r="EQ15" s="56"/>
      <c r="ER15" s="56"/>
      <c r="ES15" s="56"/>
      <c r="ET15" s="56"/>
      <c r="EU15" s="56"/>
      <c r="EV15" s="56"/>
      <c r="EW15" s="56"/>
      <c r="EX15" s="56"/>
      <c r="EY15" s="56"/>
      <c r="EZ15" s="56"/>
      <c r="FA15" s="56"/>
      <c r="FB15" s="56"/>
      <c r="FC15" s="56"/>
      <c r="FD15" s="56"/>
      <c r="FE15" s="56"/>
      <c r="FF15" s="56"/>
      <c r="FG15" s="56"/>
      <c r="FH15" s="56"/>
      <c r="FI15" s="56"/>
      <c r="FJ15" s="56"/>
      <c r="FK15" s="56"/>
      <c r="FL15" s="56"/>
      <c r="FM15" s="56"/>
      <c r="FN15" s="56"/>
      <c r="FO15" s="56"/>
      <c r="FP15" s="56"/>
      <c r="FQ15" s="56"/>
      <c r="FR15" s="56"/>
      <c r="FS15" s="56"/>
      <c r="FT15" s="56"/>
      <c r="FU15" s="56"/>
      <c r="FV15" s="56"/>
      <c r="FW15" s="56"/>
      <c r="FX15" s="56"/>
      <c r="FY15" s="56"/>
      <c r="FZ15" s="56"/>
      <c r="GA15" s="56"/>
      <c r="GB15" s="56"/>
      <c r="GC15" s="56"/>
      <c r="GD15" s="56"/>
      <c r="GE15" s="56"/>
      <c r="GF15" s="56"/>
      <c r="GG15" s="56"/>
      <c r="GH15" s="56"/>
      <c r="GI15" s="56"/>
      <c r="GJ15" s="56"/>
      <c r="GK15" s="56"/>
      <c r="GL15" s="56"/>
      <c r="GM15" s="56"/>
      <c r="GN15" s="56"/>
      <c r="GO15" s="56"/>
      <c r="GP15" s="56"/>
      <c r="GQ15" s="56"/>
      <c r="GR15" s="56"/>
      <c r="GS15" s="56"/>
      <c r="GT15" s="56"/>
      <c r="GU15" s="56"/>
      <c r="GV15" s="56"/>
      <c r="GW15" s="56"/>
      <c r="GX15" s="56"/>
      <c r="GY15" s="56"/>
      <c r="GZ15" s="56"/>
      <c r="HA15" s="56"/>
      <c r="HB15" s="56"/>
      <c r="HC15" s="56"/>
      <c r="HD15" s="56"/>
      <c r="HE15" s="56"/>
      <c r="HF15" s="56"/>
      <c r="HG15" s="56"/>
      <c r="HH15" s="56"/>
      <c r="HI15" s="56"/>
      <c r="HJ15" s="56"/>
      <c r="HK15" s="56"/>
      <c r="HL15" s="56"/>
      <c r="HM15" s="56"/>
      <c r="HN15" s="56"/>
      <c r="HO15" s="56"/>
      <c r="HP15" s="56"/>
      <c r="HQ15" s="56"/>
      <c r="HR15" s="56"/>
      <c r="HS15" s="56"/>
      <c r="HT15" s="56"/>
      <c r="HU15" s="56"/>
      <c r="HV15" s="56"/>
      <c r="HW15" s="56"/>
      <c r="HX15" s="56"/>
      <c r="HY15" s="56"/>
      <c r="HZ15" s="56"/>
      <c r="IA15" s="56"/>
      <c r="IB15" s="56"/>
      <c r="IC15" s="56"/>
      <c r="ID15" s="56"/>
      <c r="IE15" s="56"/>
      <c r="IF15" s="56"/>
      <c r="IG15" s="56"/>
      <c r="IH15" s="56"/>
      <c r="II15" s="56"/>
      <c r="IJ15" s="56"/>
      <c r="IK15" s="56"/>
      <c r="IL15" s="56"/>
      <c r="IM15" s="56"/>
      <c r="IN15" s="56"/>
      <c r="IO15" s="56"/>
      <c r="IP15" s="56"/>
      <c r="IQ15" s="56"/>
      <c r="IR15" s="56"/>
      <c r="IS15" s="56"/>
      <c r="IT15" s="56"/>
      <c r="IU15" s="56"/>
      <c r="IV15" s="56"/>
    </row>
    <row r="16" spans="1:256" ht="97.5" customHeight="1" x14ac:dyDescent="0.2">
      <c r="A16" s="60" t="s">
        <v>188</v>
      </c>
      <c r="B16" s="204" t="s">
        <v>189</v>
      </c>
      <c r="C16" s="205"/>
      <c r="D16" s="204" t="s">
        <v>88</v>
      </c>
      <c r="E16" s="206"/>
      <c r="F16" s="206"/>
      <c r="G16" s="205"/>
      <c r="H16" s="61" t="s">
        <v>87</v>
      </c>
      <c r="I16" s="60" t="s">
        <v>190</v>
      </c>
    </row>
    <row r="17" spans="1:9" ht="12.75" customHeight="1" x14ac:dyDescent="0.2">
      <c r="A17" s="88" t="s">
        <v>191</v>
      </c>
      <c r="B17" s="207">
        <v>2</v>
      </c>
      <c r="C17" s="208"/>
      <c r="D17" s="207">
        <v>3</v>
      </c>
      <c r="E17" s="209"/>
      <c r="F17" s="209"/>
      <c r="G17" s="208"/>
      <c r="H17" s="62">
        <v>4</v>
      </c>
      <c r="I17" s="90">
        <v>5</v>
      </c>
    </row>
    <row r="18" spans="1:9" ht="94.5" customHeight="1" x14ac:dyDescent="0.2">
      <c r="A18" s="89" t="s">
        <v>191</v>
      </c>
      <c r="B18" s="233" t="s">
        <v>312</v>
      </c>
      <c r="C18" s="233"/>
      <c r="D18" s="234" t="s">
        <v>313</v>
      </c>
      <c r="E18" s="234"/>
      <c r="F18" s="234"/>
      <c r="G18" s="234"/>
      <c r="H18" s="85" t="s">
        <v>314</v>
      </c>
      <c r="I18" s="86">
        <f>1674.94*2.4*1.2*0.805*3.83</f>
        <v>14872.58283168</v>
      </c>
    </row>
    <row r="19" spans="1:9" ht="103.5" customHeight="1" x14ac:dyDescent="0.2">
      <c r="A19" s="75" t="s">
        <v>200</v>
      </c>
      <c r="B19" s="235" t="s">
        <v>220</v>
      </c>
      <c r="C19" s="236"/>
      <c r="D19" s="245" t="s">
        <v>221</v>
      </c>
      <c r="E19" s="246"/>
      <c r="F19" s="246"/>
      <c r="G19" s="247"/>
      <c r="H19" s="64" t="s">
        <v>291</v>
      </c>
      <c r="I19" s="65">
        <f>(11960+0*13)*0.6*1.4*1.1*0.825*3.83</f>
        <v>34918.523639999999</v>
      </c>
    </row>
    <row r="20" spans="1:9" ht="18" customHeight="1" x14ac:dyDescent="0.2">
      <c r="A20" s="75"/>
      <c r="B20" s="215" t="s">
        <v>63</v>
      </c>
      <c r="C20" s="216"/>
      <c r="D20" s="248"/>
      <c r="E20" s="249"/>
      <c r="F20" s="249"/>
      <c r="G20" s="250"/>
      <c r="H20" s="76"/>
      <c r="I20" s="87"/>
    </row>
    <row r="21" spans="1:9" ht="28.5" customHeight="1" x14ac:dyDescent="0.2">
      <c r="A21" s="75"/>
      <c r="B21" s="230" t="s">
        <v>194</v>
      </c>
      <c r="C21" s="231"/>
      <c r="D21" s="230" t="s">
        <v>195</v>
      </c>
      <c r="E21" s="232"/>
      <c r="F21" s="232"/>
      <c r="G21" s="231"/>
      <c r="H21" s="76"/>
      <c r="I21" s="87"/>
    </row>
    <row r="22" spans="1:9" ht="39.75" customHeight="1" x14ac:dyDescent="0.2">
      <c r="A22" s="75"/>
      <c r="B22" s="240"/>
      <c r="C22" s="241"/>
      <c r="D22" s="230" t="s">
        <v>196</v>
      </c>
      <c r="E22" s="232"/>
      <c r="F22" s="232"/>
      <c r="G22" s="231"/>
      <c r="H22" s="76"/>
      <c r="I22" s="87"/>
    </row>
    <row r="23" spans="1:9" ht="27.75" customHeight="1" x14ac:dyDescent="0.2">
      <c r="A23" s="75"/>
      <c r="B23" s="240"/>
      <c r="C23" s="241"/>
      <c r="D23" s="230" t="s">
        <v>197</v>
      </c>
      <c r="E23" s="232"/>
      <c r="F23" s="232"/>
      <c r="G23" s="231"/>
      <c r="H23" s="76"/>
      <c r="I23" s="87"/>
    </row>
    <row r="24" spans="1:9" ht="25.5" customHeight="1" x14ac:dyDescent="0.2">
      <c r="A24" s="75"/>
      <c r="B24" s="240"/>
      <c r="C24" s="241"/>
      <c r="D24" s="218" t="s">
        <v>198</v>
      </c>
      <c r="E24" s="220"/>
      <c r="F24" s="220"/>
      <c r="G24" s="219"/>
      <c r="H24" s="76"/>
      <c r="I24" s="87"/>
    </row>
    <row r="25" spans="1:9" ht="54.75" customHeight="1" x14ac:dyDescent="0.2">
      <c r="A25" s="75"/>
      <c r="B25" s="221" t="s">
        <v>69</v>
      </c>
      <c r="C25" s="222"/>
      <c r="D25" s="221"/>
      <c r="E25" s="223"/>
      <c r="F25" s="223"/>
      <c r="G25" s="222"/>
      <c r="H25" s="73" t="s">
        <v>290</v>
      </c>
      <c r="I25" s="87"/>
    </row>
    <row r="26" spans="1:9" ht="106.5" customHeight="1" x14ac:dyDescent="0.2">
      <c r="A26" s="75" t="s">
        <v>201</v>
      </c>
      <c r="B26" s="235" t="s">
        <v>71</v>
      </c>
      <c r="C26" s="236"/>
      <c r="D26" s="237" t="s">
        <v>72</v>
      </c>
      <c r="E26" s="238"/>
      <c r="F26" s="238"/>
      <c r="G26" s="239"/>
      <c r="H26" s="76" t="s">
        <v>225</v>
      </c>
      <c r="I26" s="77">
        <f>(0+800*1)*1*0.5*3.83</f>
        <v>1532</v>
      </c>
    </row>
    <row r="27" spans="1:9" ht="15.75" customHeight="1" x14ac:dyDescent="0.2">
      <c r="A27" s="66" t="s">
        <v>193</v>
      </c>
      <c r="B27" s="215" t="s">
        <v>63</v>
      </c>
      <c r="C27" s="216"/>
      <c r="D27" s="215"/>
      <c r="E27" s="217"/>
      <c r="F27" s="217"/>
      <c r="G27" s="216"/>
      <c r="H27" s="67"/>
      <c r="I27" s="68"/>
    </row>
    <row r="28" spans="1:9" ht="12.75" customHeight="1" x14ac:dyDescent="0.2">
      <c r="A28" s="69" t="s">
        <v>193</v>
      </c>
      <c r="B28" s="230" t="s">
        <v>64</v>
      </c>
      <c r="C28" s="231"/>
      <c r="D28" s="230" t="s">
        <v>74</v>
      </c>
      <c r="E28" s="232"/>
      <c r="F28" s="232"/>
      <c r="G28" s="231"/>
      <c r="H28" s="70"/>
      <c r="I28" s="71"/>
    </row>
    <row r="29" spans="1:9" ht="38.25" customHeight="1" x14ac:dyDescent="0.2">
      <c r="A29" s="69" t="s">
        <v>193</v>
      </c>
      <c r="B29" s="230"/>
      <c r="C29" s="231"/>
      <c r="D29" s="230" t="s">
        <v>196</v>
      </c>
      <c r="E29" s="232"/>
      <c r="F29" s="232"/>
      <c r="G29" s="231"/>
      <c r="H29" s="70"/>
      <c r="I29" s="71"/>
    </row>
    <row r="30" spans="1:9" ht="22.5" customHeight="1" x14ac:dyDescent="0.2">
      <c r="A30" s="72" t="s">
        <v>193</v>
      </c>
      <c r="B30" s="242" t="s">
        <v>69</v>
      </c>
      <c r="C30" s="243"/>
      <c r="D30" s="242"/>
      <c r="E30" s="244"/>
      <c r="F30" s="244"/>
      <c r="G30" s="243"/>
      <c r="H30" s="73" t="s">
        <v>75</v>
      </c>
      <c r="I30" s="74"/>
    </row>
    <row r="31" spans="1:9" ht="12.75" customHeight="1" x14ac:dyDescent="0.2">
      <c r="A31" s="72" t="s">
        <v>202</v>
      </c>
      <c r="B31" s="224" t="s">
        <v>76</v>
      </c>
      <c r="C31" s="225"/>
      <c r="D31" s="224"/>
      <c r="E31" s="226"/>
      <c r="F31" s="226"/>
      <c r="G31" s="225"/>
      <c r="H31" s="78"/>
      <c r="I31" s="79">
        <f>I18+I19+I26</f>
        <v>51323.106471680003</v>
      </c>
    </row>
    <row r="32" spans="1:9" ht="12.75" customHeight="1" x14ac:dyDescent="0.2">
      <c r="A32" s="80" t="s">
        <v>203</v>
      </c>
      <c r="B32" s="227" t="s">
        <v>77</v>
      </c>
      <c r="C32" s="228"/>
      <c r="D32" s="227"/>
      <c r="E32" s="229"/>
      <c r="F32" s="229"/>
      <c r="G32" s="228"/>
      <c r="H32" s="81" t="s">
        <v>217</v>
      </c>
      <c r="I32" s="82">
        <f>I31*0.1</f>
        <v>5132.3106471680003</v>
      </c>
    </row>
    <row r="33" spans="1:256" ht="39.75" customHeight="1" x14ac:dyDescent="0.2">
      <c r="A33" s="80" t="s">
        <v>204</v>
      </c>
      <c r="B33" s="227" t="s">
        <v>23</v>
      </c>
      <c r="C33" s="228"/>
      <c r="D33" s="227"/>
      <c r="E33" s="229"/>
      <c r="F33" s="229"/>
      <c r="G33" s="228"/>
      <c r="H33" s="81" t="s">
        <v>79</v>
      </c>
      <c r="I33" s="82">
        <v>22501.54</v>
      </c>
    </row>
    <row r="34" spans="1:256" ht="25.5" customHeight="1" x14ac:dyDescent="0.2">
      <c r="A34" s="80" t="s">
        <v>205</v>
      </c>
      <c r="B34" s="227" t="s">
        <v>80</v>
      </c>
      <c r="C34" s="228"/>
      <c r="D34" s="227"/>
      <c r="E34" s="229"/>
      <c r="F34" s="229"/>
      <c r="G34" s="228"/>
      <c r="H34" s="81" t="s">
        <v>79</v>
      </c>
      <c r="I34" s="82">
        <v>3778.21</v>
      </c>
    </row>
    <row r="35" spans="1:256" ht="12.75" customHeight="1" x14ac:dyDescent="0.2">
      <c r="A35" s="80" t="s">
        <v>206</v>
      </c>
      <c r="B35" s="227" t="s">
        <v>81</v>
      </c>
      <c r="C35" s="228"/>
      <c r="D35" s="227"/>
      <c r="E35" s="229"/>
      <c r="F35" s="229"/>
      <c r="G35" s="228"/>
      <c r="H35" s="81" t="s">
        <v>227</v>
      </c>
      <c r="I35" s="82">
        <f>I31+I32+I33+I34</f>
        <v>82735.16711884801</v>
      </c>
    </row>
    <row r="36" spans="1:256" ht="12.75" customHeight="1" x14ac:dyDescent="0.2">
      <c r="A36" s="80" t="s">
        <v>208</v>
      </c>
      <c r="B36" s="227" t="s">
        <v>207</v>
      </c>
      <c r="C36" s="228"/>
      <c r="D36" s="227"/>
      <c r="E36" s="229"/>
      <c r="F36" s="229"/>
      <c r="G36" s="228"/>
      <c r="H36" s="81" t="s">
        <v>274</v>
      </c>
      <c r="I36" s="82">
        <f>ROUND(I35*20%,2)</f>
        <v>16547.03</v>
      </c>
    </row>
    <row r="37" spans="1:256" ht="12.75" customHeight="1" x14ac:dyDescent="0.2">
      <c r="A37" s="80" t="s">
        <v>226</v>
      </c>
      <c r="B37" s="224" t="s">
        <v>85</v>
      </c>
      <c r="C37" s="225"/>
      <c r="D37" s="224"/>
      <c r="E37" s="226"/>
      <c r="F37" s="226"/>
      <c r="G37" s="225"/>
      <c r="H37" s="83" t="s">
        <v>228</v>
      </c>
      <c r="I37" s="84">
        <f>I35+I36</f>
        <v>99282.197118848009</v>
      </c>
    </row>
    <row r="39" spans="1:256" ht="12.75" customHeight="1" x14ac:dyDescent="0.25">
      <c r="A39" s="52" t="s">
        <v>209</v>
      </c>
      <c r="B39" s="52"/>
      <c r="C39" s="52"/>
      <c r="D39" s="52"/>
      <c r="E39" s="52"/>
      <c r="F39" s="52"/>
      <c r="G39" s="52"/>
      <c r="H39" s="52"/>
      <c r="I39" s="52"/>
      <c r="J39" s="52"/>
      <c r="K39" s="52"/>
      <c r="L39" s="52"/>
      <c r="M39" s="52"/>
      <c r="N39" s="52"/>
      <c r="O39" s="52"/>
      <c r="P39" s="52"/>
      <c r="Q39" s="52"/>
      <c r="R39" s="52"/>
      <c r="S39" s="52"/>
      <c r="T39" s="52"/>
      <c r="U39" s="52"/>
      <c r="V39" s="52"/>
      <c r="W39" s="52"/>
      <c r="X39" s="52"/>
      <c r="Y39" s="52"/>
      <c r="Z39" s="52"/>
      <c r="AA39" s="52"/>
      <c r="AB39" s="52"/>
      <c r="AC39" s="52"/>
      <c r="AD39" s="52"/>
      <c r="AE39" s="52"/>
      <c r="AF39" s="52"/>
      <c r="AG39" s="52"/>
      <c r="AH39" s="52"/>
      <c r="AI39" s="52"/>
      <c r="AJ39" s="52"/>
      <c r="AK39" s="52"/>
      <c r="AL39" s="52"/>
      <c r="AM39" s="52"/>
      <c r="AN39" s="52"/>
      <c r="AO39" s="52"/>
      <c r="AP39" s="52"/>
      <c r="AQ39" s="52"/>
      <c r="AR39" s="52"/>
      <c r="AS39" s="52"/>
      <c r="AT39" s="52"/>
      <c r="AU39" s="52"/>
      <c r="AV39" s="52"/>
      <c r="AW39" s="52"/>
      <c r="AX39" s="52"/>
      <c r="AY39" s="52"/>
      <c r="AZ39" s="52"/>
      <c r="BA39" s="52"/>
      <c r="BB39" s="52"/>
      <c r="BC39" s="52"/>
      <c r="BD39" s="52"/>
      <c r="BE39" s="52"/>
      <c r="BF39" s="52"/>
      <c r="BG39" s="52"/>
      <c r="BH39" s="52"/>
      <c r="BI39" s="52"/>
      <c r="BJ39" s="52"/>
      <c r="BK39" s="52"/>
      <c r="BL39" s="52"/>
      <c r="BM39" s="52"/>
      <c r="BN39" s="52"/>
      <c r="BO39" s="52"/>
      <c r="BP39" s="52"/>
      <c r="BQ39" s="52"/>
      <c r="BR39" s="52"/>
      <c r="BS39" s="52"/>
      <c r="BT39" s="52"/>
      <c r="BU39" s="52"/>
      <c r="BV39" s="52"/>
      <c r="BW39" s="52"/>
      <c r="BX39" s="52"/>
      <c r="BY39" s="52"/>
      <c r="BZ39" s="52"/>
      <c r="CA39" s="52"/>
      <c r="CB39" s="52"/>
      <c r="CC39" s="52"/>
      <c r="CD39" s="52"/>
      <c r="CE39" s="52"/>
      <c r="CF39" s="52"/>
      <c r="CG39" s="52"/>
      <c r="CH39" s="52"/>
      <c r="CI39" s="52"/>
      <c r="CJ39" s="52"/>
      <c r="CK39" s="52"/>
      <c r="CL39" s="52"/>
      <c r="CM39" s="52"/>
      <c r="CN39" s="52"/>
      <c r="CO39" s="52"/>
      <c r="CP39" s="52"/>
      <c r="CQ39" s="52"/>
      <c r="CR39" s="52"/>
      <c r="CS39" s="52"/>
      <c r="CT39" s="52"/>
      <c r="CU39" s="52"/>
      <c r="CV39" s="52"/>
      <c r="CW39" s="52"/>
      <c r="CX39" s="52"/>
      <c r="CY39" s="52"/>
      <c r="CZ39" s="52"/>
      <c r="DA39" s="52"/>
      <c r="DB39" s="52"/>
      <c r="DC39" s="52"/>
      <c r="DD39" s="52"/>
      <c r="DE39" s="52"/>
      <c r="DF39" s="52"/>
      <c r="DG39" s="52"/>
      <c r="DH39" s="52"/>
      <c r="DI39" s="52"/>
      <c r="DJ39" s="52"/>
      <c r="DK39" s="52"/>
      <c r="DL39" s="52"/>
      <c r="DM39" s="52"/>
      <c r="DN39" s="52"/>
      <c r="DO39" s="52"/>
      <c r="DP39" s="52"/>
      <c r="DQ39" s="52"/>
      <c r="DR39" s="52"/>
      <c r="DS39" s="52"/>
      <c r="DT39" s="52"/>
      <c r="DU39" s="52"/>
      <c r="DV39" s="52"/>
      <c r="DW39" s="52"/>
      <c r="DX39" s="52"/>
      <c r="DY39" s="52"/>
      <c r="DZ39" s="52"/>
      <c r="EA39" s="52"/>
      <c r="EB39" s="52"/>
      <c r="EC39" s="52"/>
      <c r="ED39" s="52"/>
      <c r="EE39" s="52"/>
      <c r="EF39" s="52"/>
      <c r="EG39" s="52"/>
      <c r="EH39" s="52"/>
      <c r="EI39" s="52"/>
      <c r="EJ39" s="52"/>
      <c r="EK39" s="52"/>
      <c r="EL39" s="52"/>
      <c r="EM39" s="52"/>
      <c r="EN39" s="52"/>
      <c r="EO39" s="52"/>
      <c r="EP39" s="52"/>
      <c r="EQ39" s="52"/>
      <c r="ER39" s="52"/>
      <c r="ES39" s="52"/>
      <c r="ET39" s="52"/>
      <c r="EU39" s="52"/>
      <c r="EV39" s="52"/>
      <c r="EW39" s="52"/>
      <c r="EX39" s="52"/>
      <c r="EY39" s="52"/>
      <c r="EZ39" s="52"/>
      <c r="FA39" s="52"/>
      <c r="FB39" s="52"/>
      <c r="FC39" s="52"/>
      <c r="FD39" s="52"/>
      <c r="FE39" s="52"/>
      <c r="FF39" s="52"/>
      <c r="FG39" s="52"/>
      <c r="FH39" s="52"/>
      <c r="FI39" s="52"/>
      <c r="FJ39" s="52"/>
      <c r="FK39" s="52"/>
      <c r="FL39" s="52"/>
      <c r="FM39" s="52"/>
      <c r="FN39" s="52"/>
      <c r="FO39" s="52"/>
      <c r="FP39" s="52"/>
      <c r="FQ39" s="52"/>
      <c r="FR39" s="52"/>
      <c r="FS39" s="52"/>
      <c r="FT39" s="52"/>
      <c r="FU39" s="52"/>
      <c r="FV39" s="52"/>
      <c r="FW39" s="52"/>
      <c r="FX39" s="52"/>
      <c r="FY39" s="52"/>
      <c r="FZ39" s="52"/>
      <c r="GA39" s="52"/>
      <c r="GB39" s="52"/>
      <c r="GC39" s="52"/>
      <c r="GD39" s="52"/>
      <c r="GE39" s="52"/>
      <c r="GF39" s="52"/>
      <c r="GG39" s="52"/>
      <c r="GH39" s="52"/>
      <c r="GI39" s="52"/>
      <c r="GJ39" s="52"/>
      <c r="GK39" s="52"/>
      <c r="GL39" s="52"/>
      <c r="GM39" s="52"/>
      <c r="GN39" s="52"/>
      <c r="GO39" s="52"/>
      <c r="GP39" s="52"/>
      <c r="GQ39" s="52"/>
      <c r="GR39" s="52"/>
      <c r="GS39" s="52"/>
      <c r="GT39" s="52"/>
      <c r="GU39" s="52"/>
      <c r="GV39" s="52"/>
      <c r="GW39" s="52"/>
      <c r="GX39" s="52"/>
      <c r="GY39" s="52"/>
      <c r="GZ39" s="52"/>
      <c r="HA39" s="52"/>
      <c r="HB39" s="52"/>
      <c r="HC39" s="52"/>
      <c r="HD39" s="52"/>
      <c r="HE39" s="52"/>
      <c r="HF39" s="52"/>
      <c r="HG39" s="52"/>
      <c r="HH39" s="52"/>
      <c r="HI39" s="52"/>
      <c r="HJ39" s="52"/>
      <c r="HK39" s="52"/>
      <c r="HL39" s="52"/>
      <c r="HM39" s="52"/>
      <c r="HN39" s="52"/>
      <c r="HO39" s="52"/>
      <c r="HP39" s="52"/>
      <c r="HQ39" s="52"/>
      <c r="HR39" s="52"/>
      <c r="HS39" s="52"/>
      <c r="HT39" s="52"/>
      <c r="HU39" s="52"/>
      <c r="HV39" s="52"/>
      <c r="HW39" s="52"/>
      <c r="HX39" s="52"/>
      <c r="HY39" s="52"/>
      <c r="HZ39" s="52"/>
      <c r="IA39" s="52"/>
      <c r="IB39" s="52"/>
      <c r="IC39" s="52"/>
      <c r="ID39" s="52"/>
      <c r="IE39" s="52"/>
      <c r="IF39" s="52"/>
      <c r="IG39" s="52"/>
      <c r="IH39" s="52"/>
      <c r="II39" s="52"/>
      <c r="IJ39" s="52"/>
      <c r="IK39" s="52"/>
      <c r="IL39" s="52"/>
      <c r="IM39" s="52"/>
      <c r="IN39" s="52"/>
      <c r="IO39" s="52"/>
      <c r="IP39" s="52"/>
      <c r="IQ39" s="52"/>
      <c r="IR39" s="52"/>
      <c r="IS39" s="52"/>
      <c r="IT39" s="52"/>
      <c r="IU39" s="52"/>
      <c r="IV39" s="52"/>
    </row>
    <row r="40" spans="1:256" ht="13.5" customHeight="1" x14ac:dyDescent="0.25">
      <c r="A40" s="1" t="s">
        <v>27</v>
      </c>
      <c r="B40" s="1"/>
      <c r="C40" s="1"/>
      <c r="D40" s="52"/>
      <c r="E40" s="52"/>
      <c r="F40" s="52"/>
      <c r="G40" s="52"/>
      <c r="H40" s="52"/>
      <c r="I40" s="52"/>
      <c r="J40" s="52"/>
      <c r="K40" s="52"/>
      <c r="L40" s="52"/>
      <c r="M40" s="52"/>
      <c r="N40" s="52"/>
      <c r="O40" s="52"/>
      <c r="P40" s="52"/>
      <c r="Q40" s="52"/>
      <c r="R40" s="52"/>
      <c r="S40" s="52"/>
      <c r="T40" s="52"/>
      <c r="U40" s="52"/>
      <c r="V40" s="52"/>
      <c r="W40" s="52"/>
      <c r="X40" s="52"/>
      <c r="Y40" s="52"/>
      <c r="Z40" s="52"/>
      <c r="AA40" s="52"/>
      <c r="AB40" s="52"/>
      <c r="AC40" s="52"/>
      <c r="AD40" s="52"/>
      <c r="AE40" s="52"/>
      <c r="AF40" s="52"/>
      <c r="AG40" s="52"/>
      <c r="AH40" s="52"/>
      <c r="AI40" s="52"/>
      <c r="AJ40" s="52"/>
      <c r="AK40" s="52"/>
      <c r="AL40" s="52"/>
      <c r="AM40" s="52"/>
      <c r="AN40" s="52"/>
      <c r="AO40" s="52"/>
      <c r="AP40" s="52"/>
      <c r="AQ40" s="52"/>
      <c r="AR40" s="52"/>
      <c r="AS40" s="52"/>
      <c r="AT40" s="52"/>
      <c r="AU40" s="52"/>
      <c r="AV40" s="52"/>
      <c r="AW40" s="52"/>
      <c r="AX40" s="52"/>
      <c r="AY40" s="52"/>
      <c r="AZ40" s="52"/>
      <c r="BA40" s="52"/>
      <c r="BB40" s="52"/>
      <c r="BC40" s="52"/>
      <c r="BD40" s="52"/>
      <c r="BE40" s="52"/>
      <c r="BF40" s="52"/>
      <c r="BG40" s="52"/>
      <c r="BH40" s="52"/>
      <c r="BI40" s="52"/>
      <c r="BJ40" s="52"/>
      <c r="BK40" s="52"/>
      <c r="BL40" s="52"/>
      <c r="BM40" s="52"/>
      <c r="BN40" s="52"/>
      <c r="BO40" s="52"/>
      <c r="BP40" s="52"/>
      <c r="BQ40" s="52"/>
      <c r="BR40" s="52"/>
      <c r="BS40" s="52"/>
      <c r="BT40" s="52"/>
      <c r="BU40" s="52"/>
      <c r="BV40" s="52"/>
      <c r="BW40" s="52"/>
      <c r="BX40" s="52"/>
      <c r="BY40" s="52"/>
      <c r="BZ40" s="52"/>
      <c r="CA40" s="52"/>
      <c r="CB40" s="52"/>
      <c r="CC40" s="52"/>
      <c r="CD40" s="52"/>
      <c r="CE40" s="52"/>
      <c r="CF40" s="52"/>
      <c r="CG40" s="52"/>
      <c r="CH40" s="52"/>
      <c r="CI40" s="52"/>
      <c r="CJ40" s="52"/>
      <c r="CK40" s="52"/>
      <c r="CL40" s="52"/>
      <c r="CM40" s="52"/>
      <c r="CN40" s="52"/>
      <c r="CO40" s="52"/>
      <c r="CP40" s="52"/>
      <c r="CQ40" s="52"/>
      <c r="CR40" s="52"/>
      <c r="CS40" s="52"/>
      <c r="CT40" s="52"/>
      <c r="CU40" s="52"/>
      <c r="CV40" s="52"/>
      <c r="CW40" s="52"/>
      <c r="CX40" s="52"/>
      <c r="CY40" s="52"/>
      <c r="CZ40" s="52"/>
      <c r="DA40" s="52"/>
      <c r="DB40" s="52"/>
      <c r="DC40" s="52"/>
      <c r="DD40" s="52"/>
      <c r="DE40" s="52"/>
      <c r="DF40" s="52"/>
      <c r="DG40" s="52"/>
      <c r="DH40" s="52"/>
      <c r="DI40" s="52"/>
      <c r="DJ40" s="52"/>
      <c r="DK40" s="52"/>
      <c r="DL40" s="52"/>
      <c r="DM40" s="52"/>
      <c r="DN40" s="52"/>
      <c r="DO40" s="52"/>
      <c r="DP40" s="52"/>
      <c r="DQ40" s="52"/>
      <c r="DR40" s="52"/>
      <c r="DS40" s="52"/>
      <c r="DT40" s="52"/>
      <c r="DU40" s="52"/>
      <c r="DV40" s="52"/>
      <c r="DW40" s="52"/>
      <c r="DX40" s="52"/>
      <c r="DY40" s="52"/>
      <c r="DZ40" s="52"/>
      <c r="EA40" s="52"/>
      <c r="EB40" s="52"/>
      <c r="EC40" s="52"/>
      <c r="ED40" s="52"/>
      <c r="EE40" s="52"/>
      <c r="EF40" s="52"/>
      <c r="EG40" s="52"/>
      <c r="EH40" s="52"/>
      <c r="EI40" s="52"/>
      <c r="EJ40" s="52"/>
      <c r="EK40" s="52"/>
      <c r="EL40" s="52"/>
      <c r="EM40" s="52"/>
      <c r="EN40" s="52"/>
      <c r="EO40" s="52"/>
      <c r="EP40" s="52"/>
      <c r="EQ40" s="52"/>
      <c r="ER40" s="52"/>
      <c r="ES40" s="52"/>
      <c r="ET40" s="52"/>
      <c r="EU40" s="52"/>
      <c r="EV40" s="52"/>
      <c r="EW40" s="52"/>
      <c r="EX40" s="52"/>
      <c r="EY40" s="52"/>
      <c r="EZ40" s="52"/>
      <c r="FA40" s="52"/>
      <c r="FB40" s="52"/>
      <c r="FC40" s="52"/>
      <c r="FD40" s="52"/>
      <c r="FE40" s="52"/>
      <c r="FF40" s="52"/>
      <c r="FG40" s="52"/>
      <c r="FH40" s="52"/>
      <c r="FI40" s="52"/>
      <c r="FJ40" s="52"/>
      <c r="FK40" s="52"/>
      <c r="FL40" s="52"/>
      <c r="FM40" s="52"/>
      <c r="FN40" s="52"/>
      <c r="FO40" s="52"/>
      <c r="FP40" s="52"/>
      <c r="FQ40" s="52"/>
      <c r="FR40" s="52"/>
      <c r="FS40" s="52"/>
      <c r="FT40" s="52"/>
      <c r="FU40" s="52"/>
      <c r="FV40" s="52"/>
      <c r="FW40" s="52"/>
      <c r="FX40" s="52"/>
      <c r="FY40" s="52"/>
      <c r="FZ40" s="52"/>
      <c r="GA40" s="52"/>
      <c r="GB40" s="52"/>
      <c r="GC40" s="52"/>
      <c r="GD40" s="52"/>
      <c r="GE40" s="52"/>
      <c r="GF40" s="52"/>
      <c r="GG40" s="52"/>
      <c r="GH40" s="52"/>
      <c r="GI40" s="52"/>
      <c r="GJ40" s="52"/>
      <c r="GK40" s="52"/>
      <c r="GL40" s="52"/>
      <c r="GM40" s="52"/>
      <c r="GN40" s="52"/>
      <c r="GO40" s="52"/>
      <c r="GP40" s="52"/>
      <c r="GQ40" s="52"/>
      <c r="GR40" s="52"/>
      <c r="GS40" s="52"/>
      <c r="GT40" s="52"/>
      <c r="GU40" s="52"/>
      <c r="GV40" s="52"/>
      <c r="GW40" s="52"/>
      <c r="GX40" s="52"/>
      <c r="GY40" s="52"/>
      <c r="GZ40" s="52"/>
      <c r="HA40" s="52"/>
      <c r="HB40" s="52"/>
      <c r="HC40" s="52"/>
      <c r="HD40" s="52"/>
      <c r="HE40" s="52"/>
      <c r="HF40" s="52"/>
      <c r="HG40" s="52"/>
      <c r="HH40" s="52"/>
      <c r="HI40" s="52"/>
      <c r="HJ40" s="52"/>
      <c r="HK40" s="52"/>
      <c r="HL40" s="52"/>
      <c r="HM40" s="52"/>
      <c r="HN40" s="52"/>
      <c r="HO40" s="52"/>
      <c r="HP40" s="52"/>
      <c r="HQ40" s="52"/>
      <c r="HR40" s="52"/>
      <c r="HS40" s="52"/>
      <c r="HT40" s="52"/>
      <c r="HU40" s="52"/>
      <c r="HV40" s="52"/>
      <c r="HW40" s="52"/>
      <c r="HX40" s="52"/>
      <c r="HY40" s="52"/>
      <c r="HZ40" s="52"/>
      <c r="IA40" s="52"/>
      <c r="IB40" s="52"/>
      <c r="IC40" s="52"/>
      <c r="ID40" s="52"/>
      <c r="IE40" s="52"/>
      <c r="IF40" s="52"/>
      <c r="IG40" s="52"/>
      <c r="IH40" s="52"/>
      <c r="II40" s="52"/>
      <c r="IJ40" s="52"/>
      <c r="IK40" s="52"/>
      <c r="IL40" s="52"/>
      <c r="IM40" s="52"/>
      <c r="IN40" s="52"/>
      <c r="IO40" s="52"/>
      <c r="IP40" s="52"/>
      <c r="IQ40" s="52"/>
      <c r="IR40" s="52"/>
      <c r="IS40" s="52"/>
      <c r="IT40" s="52"/>
      <c r="IU40" s="52"/>
      <c r="IV40" s="52"/>
    </row>
    <row r="41" spans="1:256" ht="18" customHeight="1" x14ac:dyDescent="0.25">
      <c r="A41" s="1" t="s">
        <v>130</v>
      </c>
      <c r="B41" s="1"/>
      <c r="C41" s="1"/>
      <c r="D41" s="52"/>
      <c r="E41" s="52"/>
      <c r="F41" s="52"/>
      <c r="G41" s="52"/>
      <c r="H41" s="52"/>
      <c r="I41" s="52"/>
      <c r="J41" s="52"/>
      <c r="K41" s="52"/>
      <c r="L41" s="52"/>
      <c r="M41" s="52"/>
      <c r="N41" s="52"/>
      <c r="O41" s="52"/>
      <c r="P41" s="52"/>
      <c r="Q41" s="52"/>
      <c r="R41" s="52"/>
      <c r="S41" s="52"/>
      <c r="T41" s="52"/>
      <c r="U41" s="52"/>
      <c r="V41" s="52"/>
      <c r="W41" s="52"/>
      <c r="X41" s="52"/>
      <c r="Y41" s="52"/>
      <c r="Z41" s="52"/>
      <c r="AA41" s="52"/>
      <c r="AB41" s="52"/>
      <c r="AC41" s="52"/>
      <c r="AD41" s="52"/>
      <c r="AE41" s="52"/>
      <c r="AF41" s="52"/>
      <c r="AG41" s="52"/>
      <c r="AH41" s="52"/>
      <c r="AI41" s="52"/>
      <c r="AJ41" s="52"/>
      <c r="AK41" s="52"/>
      <c r="AL41" s="52"/>
      <c r="AM41" s="52"/>
      <c r="AN41" s="52"/>
      <c r="AO41" s="52"/>
      <c r="AP41" s="52"/>
      <c r="AQ41" s="52"/>
      <c r="AR41" s="52"/>
      <c r="AS41" s="52"/>
      <c r="AT41" s="52"/>
      <c r="AU41" s="52"/>
      <c r="AV41" s="52"/>
      <c r="AW41" s="52"/>
      <c r="AX41" s="52"/>
      <c r="AY41" s="52"/>
      <c r="AZ41" s="52"/>
      <c r="BA41" s="52"/>
      <c r="BB41" s="52"/>
      <c r="BC41" s="52"/>
      <c r="BD41" s="52"/>
      <c r="BE41" s="52"/>
      <c r="BF41" s="52"/>
      <c r="BG41" s="52"/>
      <c r="BH41" s="52"/>
      <c r="BI41" s="52"/>
      <c r="BJ41" s="52"/>
      <c r="BK41" s="52"/>
      <c r="BL41" s="52"/>
      <c r="BM41" s="52"/>
      <c r="BN41" s="52"/>
      <c r="BO41" s="52"/>
      <c r="BP41" s="52"/>
      <c r="BQ41" s="52"/>
      <c r="BR41" s="52"/>
      <c r="BS41" s="52"/>
      <c r="BT41" s="52"/>
      <c r="BU41" s="52"/>
      <c r="BV41" s="52"/>
      <c r="BW41" s="52"/>
      <c r="BX41" s="52"/>
      <c r="BY41" s="52"/>
      <c r="BZ41" s="52"/>
      <c r="CA41" s="52"/>
      <c r="CB41" s="52"/>
      <c r="CC41" s="52"/>
      <c r="CD41" s="52"/>
      <c r="CE41" s="52"/>
      <c r="CF41" s="52"/>
      <c r="CG41" s="52"/>
      <c r="CH41" s="52"/>
      <c r="CI41" s="52"/>
      <c r="CJ41" s="52"/>
      <c r="CK41" s="52"/>
      <c r="CL41" s="52"/>
      <c r="CM41" s="52"/>
      <c r="CN41" s="52"/>
      <c r="CO41" s="52"/>
      <c r="CP41" s="52"/>
      <c r="CQ41" s="52"/>
      <c r="CR41" s="52"/>
      <c r="CS41" s="52"/>
      <c r="CT41" s="52"/>
      <c r="CU41" s="52"/>
      <c r="CV41" s="52"/>
      <c r="CW41" s="52"/>
      <c r="CX41" s="52"/>
      <c r="CY41" s="52"/>
      <c r="CZ41" s="52"/>
      <c r="DA41" s="52"/>
      <c r="DB41" s="52"/>
      <c r="DC41" s="52"/>
      <c r="DD41" s="52"/>
      <c r="DE41" s="52"/>
      <c r="DF41" s="52"/>
      <c r="DG41" s="52"/>
      <c r="DH41" s="52"/>
      <c r="DI41" s="52"/>
      <c r="DJ41" s="52"/>
      <c r="DK41" s="52"/>
      <c r="DL41" s="52"/>
      <c r="DM41" s="52"/>
      <c r="DN41" s="52"/>
      <c r="DO41" s="52"/>
      <c r="DP41" s="52"/>
      <c r="DQ41" s="52"/>
      <c r="DR41" s="52"/>
      <c r="DS41" s="52"/>
      <c r="DT41" s="52"/>
      <c r="DU41" s="52"/>
      <c r="DV41" s="52"/>
      <c r="DW41" s="52"/>
      <c r="DX41" s="52"/>
      <c r="DY41" s="52"/>
      <c r="DZ41" s="52"/>
      <c r="EA41" s="52"/>
      <c r="EB41" s="52"/>
      <c r="EC41" s="52"/>
      <c r="ED41" s="52"/>
      <c r="EE41" s="52"/>
      <c r="EF41" s="52"/>
      <c r="EG41" s="52"/>
      <c r="EH41" s="52"/>
      <c r="EI41" s="52"/>
      <c r="EJ41" s="52"/>
      <c r="EK41" s="52"/>
      <c r="EL41" s="52"/>
      <c r="EM41" s="52"/>
      <c r="EN41" s="52"/>
      <c r="EO41" s="52"/>
      <c r="EP41" s="52"/>
      <c r="EQ41" s="52"/>
      <c r="ER41" s="52"/>
      <c r="ES41" s="52"/>
      <c r="ET41" s="52"/>
      <c r="EU41" s="52"/>
      <c r="EV41" s="52"/>
      <c r="EW41" s="52"/>
      <c r="EX41" s="52"/>
      <c r="EY41" s="52"/>
      <c r="EZ41" s="52"/>
      <c r="FA41" s="52"/>
      <c r="FB41" s="52"/>
      <c r="FC41" s="52"/>
      <c r="FD41" s="52"/>
      <c r="FE41" s="52"/>
      <c r="FF41" s="52"/>
      <c r="FG41" s="52"/>
      <c r="FH41" s="52"/>
      <c r="FI41" s="52"/>
      <c r="FJ41" s="52"/>
      <c r="FK41" s="52"/>
      <c r="FL41" s="52"/>
      <c r="FM41" s="52"/>
      <c r="FN41" s="52"/>
      <c r="FO41" s="52"/>
      <c r="FP41" s="52"/>
      <c r="FQ41" s="52"/>
      <c r="FR41" s="52"/>
      <c r="FS41" s="52"/>
      <c r="FT41" s="52"/>
      <c r="FU41" s="52"/>
      <c r="FV41" s="52"/>
      <c r="FW41" s="52"/>
      <c r="FX41" s="52"/>
      <c r="FY41" s="52"/>
      <c r="FZ41" s="52"/>
      <c r="GA41" s="52"/>
      <c r="GB41" s="52"/>
      <c r="GC41" s="52"/>
      <c r="GD41" s="52"/>
      <c r="GE41" s="52"/>
      <c r="GF41" s="52"/>
      <c r="GG41" s="52"/>
      <c r="GH41" s="52"/>
      <c r="GI41" s="52"/>
      <c r="GJ41" s="52"/>
      <c r="GK41" s="52"/>
      <c r="GL41" s="52"/>
      <c r="GM41" s="52"/>
      <c r="GN41" s="52"/>
      <c r="GO41" s="52"/>
      <c r="GP41" s="52"/>
      <c r="GQ41" s="52"/>
      <c r="GR41" s="52"/>
      <c r="GS41" s="52"/>
      <c r="GT41" s="52"/>
      <c r="GU41" s="52"/>
      <c r="GV41" s="52"/>
      <c r="GW41" s="52"/>
      <c r="GX41" s="52"/>
      <c r="GY41" s="52"/>
      <c r="GZ41" s="52"/>
      <c r="HA41" s="52"/>
      <c r="HB41" s="52"/>
      <c r="HC41" s="52"/>
      <c r="HD41" s="52"/>
      <c r="HE41" s="52"/>
      <c r="HF41" s="52"/>
      <c r="HG41" s="52"/>
      <c r="HH41" s="52"/>
      <c r="HI41" s="52"/>
      <c r="HJ41" s="52"/>
      <c r="HK41" s="52"/>
      <c r="HL41" s="52"/>
      <c r="HM41" s="52"/>
      <c r="HN41" s="52"/>
      <c r="HO41" s="52"/>
      <c r="HP41" s="52"/>
      <c r="HQ41" s="52"/>
      <c r="HR41" s="52"/>
      <c r="HS41" s="52"/>
      <c r="HT41" s="52"/>
      <c r="HU41" s="52"/>
      <c r="HV41" s="52"/>
      <c r="HW41" s="52"/>
      <c r="HX41" s="52"/>
      <c r="HY41" s="52"/>
      <c r="HZ41" s="52"/>
      <c r="IA41" s="52"/>
      <c r="IB41" s="52"/>
      <c r="IC41" s="52"/>
      <c r="ID41" s="52"/>
      <c r="IE41" s="52"/>
      <c r="IF41" s="52"/>
      <c r="IG41" s="52"/>
      <c r="IH41" s="52"/>
      <c r="II41" s="52"/>
      <c r="IJ41" s="52"/>
      <c r="IK41" s="52"/>
      <c r="IL41" s="52"/>
      <c r="IM41" s="52"/>
      <c r="IN41" s="52"/>
      <c r="IO41" s="52"/>
      <c r="IP41" s="52"/>
      <c r="IQ41" s="52"/>
      <c r="IR41" s="52"/>
      <c r="IS41" s="52"/>
      <c r="IT41" s="52"/>
      <c r="IU41" s="52"/>
      <c r="IV41" s="52"/>
    </row>
    <row r="42" spans="1:256" ht="18.75" customHeight="1" x14ac:dyDescent="0.25">
      <c r="A42" s="2" t="s">
        <v>28</v>
      </c>
      <c r="B42" s="52"/>
      <c r="C42" s="52"/>
      <c r="D42" s="52"/>
      <c r="E42" s="52"/>
      <c r="F42" s="52"/>
      <c r="G42" s="52"/>
      <c r="H42" s="52"/>
      <c r="I42" s="52"/>
      <c r="J42" s="52"/>
      <c r="K42" s="52"/>
      <c r="L42" s="52"/>
      <c r="M42" s="52"/>
      <c r="N42" s="52"/>
      <c r="O42" s="52"/>
      <c r="P42" s="52"/>
      <c r="Q42" s="52"/>
      <c r="R42" s="52"/>
      <c r="S42" s="52"/>
      <c r="T42" s="52"/>
      <c r="U42" s="52"/>
      <c r="V42" s="52"/>
      <c r="W42" s="52"/>
      <c r="X42" s="52"/>
      <c r="Y42" s="52"/>
      <c r="Z42" s="52"/>
      <c r="AA42" s="52"/>
      <c r="AB42" s="52"/>
      <c r="AC42" s="52"/>
      <c r="AD42" s="52"/>
      <c r="AE42" s="52"/>
      <c r="AF42" s="52"/>
      <c r="AG42" s="52"/>
      <c r="AH42" s="52"/>
      <c r="AI42" s="52"/>
      <c r="AJ42" s="52"/>
      <c r="AK42" s="52"/>
      <c r="AL42" s="52"/>
      <c r="AM42" s="52"/>
      <c r="AN42" s="52"/>
      <c r="AO42" s="52"/>
      <c r="AP42" s="52"/>
      <c r="AQ42" s="52"/>
      <c r="AR42" s="52"/>
      <c r="AS42" s="52"/>
      <c r="AT42" s="52"/>
      <c r="AU42" s="52"/>
      <c r="AV42" s="52"/>
      <c r="AW42" s="52"/>
      <c r="AX42" s="52"/>
      <c r="AY42" s="52"/>
      <c r="AZ42" s="52"/>
      <c r="BA42" s="52"/>
      <c r="BB42" s="52"/>
      <c r="BC42" s="52"/>
      <c r="BD42" s="52"/>
      <c r="BE42" s="52"/>
      <c r="BF42" s="52"/>
      <c r="BG42" s="52"/>
      <c r="BH42" s="52"/>
      <c r="BI42" s="52"/>
      <c r="BJ42" s="52"/>
      <c r="BK42" s="52"/>
      <c r="BL42" s="52"/>
      <c r="BM42" s="52"/>
      <c r="BN42" s="52"/>
      <c r="BO42" s="52"/>
      <c r="BP42" s="52"/>
      <c r="BQ42" s="52"/>
      <c r="BR42" s="52"/>
      <c r="BS42" s="52"/>
      <c r="BT42" s="52"/>
      <c r="BU42" s="52"/>
      <c r="BV42" s="52"/>
      <c r="BW42" s="52"/>
      <c r="BX42" s="52"/>
      <c r="BY42" s="52"/>
      <c r="BZ42" s="52"/>
      <c r="CA42" s="52"/>
      <c r="CB42" s="52"/>
      <c r="CC42" s="52"/>
      <c r="CD42" s="52"/>
      <c r="CE42" s="52"/>
      <c r="CF42" s="52"/>
      <c r="CG42" s="52"/>
      <c r="CH42" s="52"/>
      <c r="CI42" s="52"/>
      <c r="CJ42" s="52"/>
      <c r="CK42" s="52"/>
      <c r="CL42" s="52"/>
      <c r="CM42" s="52"/>
      <c r="CN42" s="52"/>
      <c r="CO42" s="52"/>
      <c r="CP42" s="52"/>
      <c r="CQ42" s="52"/>
      <c r="CR42" s="52"/>
      <c r="CS42" s="52"/>
      <c r="CT42" s="52"/>
      <c r="CU42" s="52"/>
      <c r="CV42" s="52"/>
      <c r="CW42" s="52"/>
      <c r="CX42" s="52"/>
      <c r="CY42" s="52"/>
      <c r="CZ42" s="52"/>
      <c r="DA42" s="52"/>
      <c r="DB42" s="52"/>
      <c r="DC42" s="52"/>
      <c r="DD42" s="52"/>
      <c r="DE42" s="52"/>
      <c r="DF42" s="52"/>
      <c r="DG42" s="52"/>
      <c r="DH42" s="52"/>
      <c r="DI42" s="52"/>
      <c r="DJ42" s="52"/>
      <c r="DK42" s="52"/>
      <c r="DL42" s="52"/>
      <c r="DM42" s="52"/>
      <c r="DN42" s="52"/>
      <c r="DO42" s="52"/>
      <c r="DP42" s="52"/>
      <c r="DQ42" s="52"/>
      <c r="DR42" s="52"/>
      <c r="DS42" s="52"/>
      <c r="DT42" s="52"/>
      <c r="DU42" s="52"/>
      <c r="DV42" s="52"/>
      <c r="DW42" s="52"/>
      <c r="DX42" s="52"/>
      <c r="DY42" s="52"/>
      <c r="DZ42" s="52"/>
      <c r="EA42" s="52"/>
      <c r="EB42" s="52"/>
      <c r="EC42" s="52"/>
      <c r="ED42" s="52"/>
      <c r="EE42" s="52"/>
      <c r="EF42" s="52"/>
      <c r="EG42" s="52"/>
      <c r="EH42" s="52"/>
      <c r="EI42" s="52"/>
      <c r="EJ42" s="52"/>
      <c r="EK42" s="52"/>
      <c r="EL42" s="52"/>
      <c r="EM42" s="52"/>
      <c r="EN42" s="52"/>
      <c r="EO42" s="52"/>
      <c r="EP42" s="52"/>
      <c r="EQ42" s="52"/>
      <c r="ER42" s="52"/>
      <c r="ES42" s="52"/>
      <c r="ET42" s="52"/>
      <c r="EU42" s="52"/>
      <c r="EV42" s="52"/>
      <c r="EW42" s="52"/>
      <c r="EX42" s="52"/>
      <c r="EY42" s="52"/>
      <c r="EZ42" s="52"/>
      <c r="FA42" s="52"/>
      <c r="FB42" s="52"/>
      <c r="FC42" s="52"/>
      <c r="FD42" s="52"/>
      <c r="FE42" s="52"/>
      <c r="FF42" s="52"/>
      <c r="FG42" s="52"/>
      <c r="FH42" s="52"/>
      <c r="FI42" s="52"/>
      <c r="FJ42" s="52"/>
      <c r="FK42" s="52"/>
      <c r="FL42" s="52"/>
      <c r="FM42" s="52"/>
      <c r="FN42" s="52"/>
      <c r="FO42" s="52"/>
      <c r="FP42" s="52"/>
      <c r="FQ42" s="52"/>
      <c r="FR42" s="52"/>
      <c r="FS42" s="52"/>
      <c r="FT42" s="52"/>
      <c r="FU42" s="52"/>
      <c r="FV42" s="52"/>
      <c r="FW42" s="52"/>
      <c r="FX42" s="52"/>
      <c r="FY42" s="52"/>
      <c r="FZ42" s="52"/>
      <c r="GA42" s="52"/>
      <c r="GB42" s="52"/>
      <c r="GC42" s="52"/>
      <c r="GD42" s="52"/>
      <c r="GE42" s="52"/>
      <c r="GF42" s="52"/>
      <c r="GG42" s="52"/>
      <c r="GH42" s="52"/>
      <c r="GI42" s="52"/>
      <c r="GJ42" s="52"/>
      <c r="GK42" s="52"/>
      <c r="GL42" s="52"/>
      <c r="GM42" s="52"/>
      <c r="GN42" s="52"/>
      <c r="GO42" s="52"/>
      <c r="GP42" s="52"/>
      <c r="GQ42" s="52"/>
      <c r="GR42" s="52"/>
      <c r="GS42" s="52"/>
      <c r="GT42" s="52"/>
      <c r="GU42" s="52"/>
      <c r="GV42" s="52"/>
      <c r="GW42" s="52"/>
      <c r="GX42" s="52"/>
      <c r="GY42" s="52"/>
      <c r="GZ42" s="52"/>
      <c r="HA42" s="52"/>
      <c r="HB42" s="52"/>
      <c r="HC42" s="52"/>
      <c r="HD42" s="52"/>
      <c r="HE42" s="52"/>
      <c r="HF42" s="52"/>
      <c r="HG42" s="52"/>
      <c r="HH42" s="52"/>
      <c r="HI42" s="52"/>
      <c r="HJ42" s="52"/>
      <c r="HK42" s="52"/>
      <c r="HL42" s="52"/>
      <c r="HM42" s="52"/>
      <c r="HN42" s="52"/>
      <c r="HO42" s="52"/>
      <c r="HP42" s="52"/>
      <c r="HQ42" s="52"/>
      <c r="HR42" s="52"/>
      <c r="HS42" s="52"/>
      <c r="HT42" s="52"/>
      <c r="HU42" s="52"/>
      <c r="HV42" s="52"/>
      <c r="HW42" s="52"/>
      <c r="HX42" s="52"/>
      <c r="HY42" s="52"/>
      <c r="HZ42" s="52"/>
      <c r="IA42" s="52"/>
      <c r="IB42" s="52"/>
      <c r="IC42" s="52"/>
      <c r="ID42" s="52"/>
      <c r="IE42" s="52"/>
      <c r="IF42" s="52"/>
      <c r="IG42" s="52"/>
      <c r="IH42" s="52"/>
      <c r="II42" s="52"/>
      <c r="IJ42" s="52"/>
      <c r="IK42" s="52"/>
      <c r="IL42" s="52"/>
      <c r="IM42" s="52"/>
      <c r="IN42" s="52"/>
      <c r="IO42" s="52"/>
      <c r="IP42" s="52"/>
      <c r="IQ42" s="52"/>
      <c r="IR42" s="52"/>
      <c r="IS42" s="52"/>
      <c r="IT42" s="52"/>
      <c r="IU42" s="52"/>
      <c r="IV42" s="52"/>
    </row>
    <row r="43" spans="1:256" ht="17.25" customHeight="1" x14ac:dyDescent="0.25">
      <c r="A43" s="52" t="s">
        <v>276</v>
      </c>
      <c r="B43" s="52"/>
      <c r="C43" s="52"/>
      <c r="D43" s="52"/>
      <c r="E43" s="52"/>
      <c r="F43" s="52"/>
      <c r="G43" s="52"/>
      <c r="H43" s="52"/>
      <c r="I43" s="52"/>
      <c r="J43" s="52"/>
      <c r="K43" s="52"/>
      <c r="L43" s="52"/>
      <c r="M43" s="52"/>
      <c r="N43" s="52"/>
      <c r="O43" s="52"/>
      <c r="P43" s="52"/>
      <c r="Q43" s="52"/>
      <c r="R43" s="52"/>
      <c r="S43" s="52"/>
      <c r="T43" s="52"/>
      <c r="U43" s="52"/>
      <c r="V43" s="52"/>
      <c r="W43" s="52"/>
      <c r="X43" s="52"/>
      <c r="Y43" s="52"/>
      <c r="Z43" s="52"/>
      <c r="AA43" s="52"/>
      <c r="AB43" s="52"/>
      <c r="AC43" s="52"/>
      <c r="AD43" s="52"/>
      <c r="AE43" s="52"/>
      <c r="AF43" s="52"/>
      <c r="AG43" s="52"/>
      <c r="AH43" s="52"/>
      <c r="AI43" s="52"/>
      <c r="AJ43" s="52"/>
      <c r="AK43" s="52"/>
      <c r="AL43" s="52"/>
      <c r="AM43" s="52"/>
      <c r="AN43" s="52"/>
      <c r="AO43" s="52"/>
      <c r="AP43" s="52"/>
      <c r="AQ43" s="52"/>
      <c r="AR43" s="52"/>
      <c r="AS43" s="52"/>
      <c r="AT43" s="52"/>
      <c r="AU43" s="52"/>
      <c r="AV43" s="52"/>
      <c r="AW43" s="52"/>
      <c r="AX43" s="52"/>
      <c r="AY43" s="52"/>
      <c r="AZ43" s="52"/>
      <c r="BA43" s="52"/>
      <c r="BB43" s="52"/>
      <c r="BC43" s="52"/>
      <c r="BD43" s="52"/>
      <c r="BE43" s="52"/>
      <c r="BF43" s="52"/>
      <c r="BG43" s="52"/>
      <c r="BH43" s="52"/>
      <c r="BI43" s="52"/>
      <c r="BJ43" s="52"/>
      <c r="BK43" s="52"/>
      <c r="BL43" s="52"/>
      <c r="BM43" s="52"/>
      <c r="BN43" s="52"/>
      <c r="BO43" s="52"/>
      <c r="BP43" s="52"/>
      <c r="BQ43" s="52"/>
      <c r="BR43" s="52"/>
      <c r="BS43" s="52"/>
      <c r="BT43" s="52"/>
      <c r="BU43" s="52"/>
      <c r="BV43" s="52"/>
      <c r="BW43" s="52"/>
      <c r="BX43" s="52"/>
      <c r="BY43" s="52"/>
      <c r="BZ43" s="52"/>
      <c r="CA43" s="52"/>
      <c r="CB43" s="52"/>
      <c r="CC43" s="52"/>
      <c r="CD43" s="52"/>
      <c r="CE43" s="52"/>
      <c r="CF43" s="52"/>
      <c r="CG43" s="52"/>
      <c r="CH43" s="52"/>
      <c r="CI43" s="52"/>
      <c r="CJ43" s="52"/>
      <c r="CK43" s="52"/>
      <c r="CL43" s="52"/>
      <c r="CM43" s="52"/>
      <c r="CN43" s="52"/>
      <c r="CO43" s="52"/>
      <c r="CP43" s="52"/>
      <c r="CQ43" s="52"/>
      <c r="CR43" s="52"/>
      <c r="CS43" s="52"/>
      <c r="CT43" s="52"/>
      <c r="CU43" s="52"/>
      <c r="CV43" s="52"/>
      <c r="CW43" s="52"/>
      <c r="CX43" s="52"/>
      <c r="CY43" s="52"/>
      <c r="CZ43" s="52"/>
      <c r="DA43" s="52"/>
      <c r="DB43" s="52"/>
      <c r="DC43" s="52"/>
      <c r="DD43" s="52"/>
      <c r="DE43" s="52"/>
      <c r="DF43" s="52"/>
      <c r="DG43" s="52"/>
      <c r="DH43" s="52"/>
      <c r="DI43" s="52"/>
      <c r="DJ43" s="52"/>
      <c r="DK43" s="52"/>
      <c r="DL43" s="52"/>
      <c r="DM43" s="52"/>
      <c r="DN43" s="52"/>
      <c r="DO43" s="52"/>
      <c r="DP43" s="52"/>
      <c r="DQ43" s="52"/>
      <c r="DR43" s="52"/>
      <c r="DS43" s="52"/>
      <c r="DT43" s="52"/>
      <c r="DU43" s="52"/>
      <c r="DV43" s="52"/>
      <c r="DW43" s="52"/>
      <c r="DX43" s="52"/>
      <c r="DY43" s="52"/>
      <c r="DZ43" s="52"/>
      <c r="EA43" s="52"/>
      <c r="EB43" s="52"/>
      <c r="EC43" s="52"/>
      <c r="ED43" s="52"/>
      <c r="EE43" s="52"/>
      <c r="EF43" s="52"/>
      <c r="EG43" s="52"/>
      <c r="EH43" s="52"/>
      <c r="EI43" s="52"/>
      <c r="EJ43" s="52"/>
      <c r="EK43" s="52"/>
      <c r="EL43" s="52"/>
      <c r="EM43" s="52"/>
      <c r="EN43" s="52"/>
      <c r="EO43" s="52"/>
      <c r="EP43" s="52"/>
      <c r="EQ43" s="52"/>
      <c r="ER43" s="52"/>
      <c r="ES43" s="52"/>
      <c r="ET43" s="52"/>
      <c r="EU43" s="52"/>
      <c r="EV43" s="52"/>
      <c r="EW43" s="52"/>
      <c r="EX43" s="52"/>
      <c r="EY43" s="52"/>
      <c r="EZ43" s="52"/>
      <c r="FA43" s="52"/>
      <c r="FB43" s="52"/>
      <c r="FC43" s="52"/>
      <c r="FD43" s="52"/>
      <c r="FE43" s="52"/>
      <c r="FF43" s="52"/>
      <c r="FG43" s="52"/>
      <c r="FH43" s="52"/>
      <c r="FI43" s="52"/>
      <c r="FJ43" s="52"/>
      <c r="FK43" s="52"/>
      <c r="FL43" s="52"/>
      <c r="FM43" s="52"/>
      <c r="FN43" s="52"/>
      <c r="FO43" s="52"/>
      <c r="FP43" s="52"/>
      <c r="FQ43" s="52"/>
      <c r="FR43" s="52"/>
      <c r="FS43" s="52"/>
      <c r="FT43" s="52"/>
      <c r="FU43" s="52"/>
      <c r="FV43" s="52"/>
      <c r="FW43" s="52"/>
      <c r="FX43" s="52"/>
      <c r="FY43" s="52"/>
      <c r="FZ43" s="52"/>
      <c r="GA43" s="52"/>
      <c r="GB43" s="52"/>
      <c r="GC43" s="52"/>
      <c r="GD43" s="52"/>
      <c r="GE43" s="52"/>
      <c r="GF43" s="52"/>
      <c r="GG43" s="52"/>
      <c r="GH43" s="52"/>
      <c r="GI43" s="52"/>
      <c r="GJ43" s="52"/>
      <c r="GK43" s="52"/>
      <c r="GL43" s="52"/>
      <c r="GM43" s="52"/>
      <c r="GN43" s="52"/>
      <c r="GO43" s="52"/>
      <c r="GP43" s="52"/>
      <c r="GQ43" s="52"/>
      <c r="GR43" s="52"/>
      <c r="GS43" s="52"/>
      <c r="GT43" s="52"/>
      <c r="GU43" s="52"/>
      <c r="GV43" s="52"/>
      <c r="GW43" s="52"/>
      <c r="GX43" s="52"/>
      <c r="GY43" s="52"/>
      <c r="GZ43" s="52"/>
      <c r="HA43" s="52"/>
      <c r="HB43" s="52"/>
      <c r="HC43" s="52"/>
      <c r="HD43" s="52"/>
      <c r="HE43" s="52"/>
      <c r="HF43" s="52"/>
      <c r="HG43" s="52"/>
      <c r="HH43" s="52"/>
      <c r="HI43" s="52"/>
      <c r="HJ43" s="52"/>
      <c r="HK43" s="52"/>
      <c r="HL43" s="52"/>
      <c r="HM43" s="52"/>
      <c r="HN43" s="52"/>
      <c r="HO43" s="52"/>
      <c r="HP43" s="52"/>
      <c r="HQ43" s="52"/>
      <c r="HR43" s="52"/>
      <c r="HS43" s="52"/>
      <c r="HT43" s="52"/>
      <c r="HU43" s="52"/>
      <c r="HV43" s="52"/>
      <c r="HW43" s="52"/>
      <c r="HX43" s="52"/>
      <c r="HY43" s="52"/>
      <c r="HZ43" s="52"/>
      <c r="IA43" s="52"/>
      <c r="IB43" s="52"/>
      <c r="IC43" s="52"/>
      <c r="ID43" s="52"/>
      <c r="IE43" s="52"/>
      <c r="IF43" s="52"/>
      <c r="IG43" s="52"/>
      <c r="IH43" s="52"/>
      <c r="II43" s="52"/>
      <c r="IJ43" s="52"/>
      <c r="IK43" s="52"/>
      <c r="IL43" s="52"/>
      <c r="IM43" s="52"/>
      <c r="IN43" s="52"/>
      <c r="IO43" s="52"/>
      <c r="IP43" s="52"/>
      <c r="IQ43" s="52"/>
      <c r="IR43" s="52"/>
      <c r="IS43" s="52"/>
      <c r="IT43" s="52"/>
      <c r="IU43" s="52"/>
      <c r="IV43" s="52"/>
    </row>
  </sheetData>
  <mergeCells count="48">
    <mergeCell ref="B17:C17"/>
    <mergeCell ref="D17:G17"/>
    <mergeCell ref="B18:C18"/>
    <mergeCell ref="D18:G18"/>
    <mergeCell ref="C1:I1"/>
    <mergeCell ref="A11:I11"/>
    <mergeCell ref="A12:I12"/>
    <mergeCell ref="A14:I14"/>
    <mergeCell ref="B16:C16"/>
    <mergeCell ref="D16:G16"/>
    <mergeCell ref="B19:C19"/>
    <mergeCell ref="D19:G19"/>
    <mergeCell ref="B20:C20"/>
    <mergeCell ref="D20:G20"/>
    <mergeCell ref="B21:C21"/>
    <mergeCell ref="D21:G21"/>
    <mergeCell ref="B22:C22"/>
    <mergeCell ref="D22:G22"/>
    <mergeCell ref="B23:C23"/>
    <mergeCell ref="D23:G23"/>
    <mergeCell ref="B24:C24"/>
    <mergeCell ref="D24:G24"/>
    <mergeCell ref="B25:C25"/>
    <mergeCell ref="D25:G25"/>
    <mergeCell ref="B26:C26"/>
    <mergeCell ref="D26:G26"/>
    <mergeCell ref="B27:C27"/>
    <mergeCell ref="D27:G27"/>
    <mergeCell ref="B28:C28"/>
    <mergeCell ref="D28:G28"/>
    <mergeCell ref="B29:C29"/>
    <mergeCell ref="D29:G29"/>
    <mergeCell ref="B30:C30"/>
    <mergeCell ref="D30:G30"/>
    <mergeCell ref="B37:C37"/>
    <mergeCell ref="D37:G37"/>
    <mergeCell ref="B31:C31"/>
    <mergeCell ref="D31:G31"/>
    <mergeCell ref="B32:C32"/>
    <mergeCell ref="D32:G32"/>
    <mergeCell ref="B34:C34"/>
    <mergeCell ref="D34:G34"/>
    <mergeCell ref="B33:C33"/>
    <mergeCell ref="D33:G33"/>
    <mergeCell ref="B35:C35"/>
    <mergeCell ref="D35:G35"/>
    <mergeCell ref="B36:C36"/>
    <mergeCell ref="D36:G36"/>
  </mergeCells>
  <pageMargins left="0.11811023622047245" right="0.19685039370078741" top="7.874015748031496E-2" bottom="0.19685039370078741" header="0.31496062992125984" footer="0.31496062992125984"/>
  <pageSetup paperSize="9" orientation="portrait" useFirstPageNumber="1" r:id="rId1"/>
  <headerFooter alignWithMargins="0">
    <oddFooter>&amp;CСтраница &amp;P</oddFooter>
  </headerFooter>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4"/>
  <sheetViews>
    <sheetView zoomScaleNormal="100" workbookViewId="0">
      <selection activeCell="B3" sqref="B3"/>
    </sheetView>
  </sheetViews>
  <sheetFormatPr defaultRowHeight="15.75" x14ac:dyDescent="0.25"/>
  <cols>
    <col min="1" max="1" width="4.7109375" style="1" customWidth="1"/>
    <col min="2" max="2" width="26.140625" style="1" customWidth="1"/>
    <col min="3" max="3" width="33" style="1" customWidth="1"/>
    <col min="4" max="4" width="26.7109375" style="1" customWidth="1"/>
    <col min="5" max="5" width="11.85546875" style="1" customWidth="1"/>
    <col min="6" max="16384" width="9.140625" style="1"/>
  </cols>
  <sheetData>
    <row r="1" spans="1:6" x14ac:dyDescent="0.25">
      <c r="B1" s="188" t="s">
        <v>55</v>
      </c>
      <c r="C1" s="188"/>
      <c r="D1" s="188"/>
    </row>
    <row r="3" spans="1:6" x14ac:dyDescent="0.25">
      <c r="A3" s="92" t="s">
        <v>230</v>
      </c>
      <c r="B3" s="93"/>
      <c r="C3" s="94"/>
      <c r="D3" s="92" t="s">
        <v>231</v>
      </c>
      <c r="E3"/>
      <c r="F3" s="52"/>
    </row>
    <row r="4" spans="1:6" x14ac:dyDescent="0.25">
      <c r="A4" s="95" t="s">
        <v>232</v>
      </c>
      <c r="B4" s="96"/>
      <c r="C4" s="94"/>
      <c r="D4" s="95" t="s">
        <v>233</v>
      </c>
      <c r="E4"/>
      <c r="F4" s="52"/>
    </row>
    <row r="5" spans="1:6" x14ac:dyDescent="0.25">
      <c r="A5" s="97" t="s">
        <v>4</v>
      </c>
      <c r="B5" s="98"/>
      <c r="C5" s="20"/>
      <c r="D5" s="97" t="s">
        <v>234</v>
      </c>
      <c r="E5" s="99"/>
      <c r="F5" s="52"/>
    </row>
    <row r="6" spans="1:6" x14ac:dyDescent="0.25">
      <c r="A6" s="97" t="s">
        <v>235</v>
      </c>
      <c r="B6" s="98"/>
      <c r="C6" s="100"/>
      <c r="D6" s="97" t="s">
        <v>5</v>
      </c>
      <c r="E6" s="101"/>
      <c r="F6" s="52"/>
    </row>
    <row r="7" spans="1:6" x14ac:dyDescent="0.25">
      <c r="A7"/>
      <c r="B7" s="102"/>
      <c r="C7"/>
      <c r="D7" s="97"/>
      <c r="E7" s="99"/>
      <c r="F7" s="52"/>
    </row>
    <row r="8" spans="1:6" x14ac:dyDescent="0.25">
      <c r="A8" s="97" t="s">
        <v>236</v>
      </c>
      <c r="B8" s="98"/>
      <c r="D8" s="97" t="s">
        <v>237</v>
      </c>
      <c r="E8" s="99"/>
      <c r="F8" s="52"/>
    </row>
    <row r="9" spans="1:6" x14ac:dyDescent="0.25">
      <c r="A9" s="97" t="s">
        <v>246</v>
      </c>
      <c r="B9" s="98"/>
      <c r="D9" s="97" t="s">
        <v>247</v>
      </c>
      <c r="E9" s="98"/>
      <c r="F9" s="54"/>
    </row>
    <row r="10" spans="1:6" x14ac:dyDescent="0.25">
      <c r="A10" s="4"/>
      <c r="D10" s="5"/>
      <c r="E10" s="6"/>
    </row>
    <row r="11" spans="1:6" ht="18" customHeight="1" x14ac:dyDescent="0.25">
      <c r="A11" s="189" t="s">
        <v>10</v>
      </c>
      <c r="B11" s="189"/>
      <c r="C11" s="189"/>
      <c r="D11" s="189"/>
      <c r="E11" s="189"/>
    </row>
    <row r="12" spans="1:6" x14ac:dyDescent="0.25">
      <c r="C12" s="103" t="s">
        <v>159</v>
      </c>
    </row>
    <row r="13" spans="1:6" x14ac:dyDescent="0.25">
      <c r="C13" s="7"/>
    </row>
    <row r="14" spans="1:6" ht="35.25" customHeight="1" x14ac:dyDescent="0.25">
      <c r="A14" s="190" t="s">
        <v>238</v>
      </c>
      <c r="B14" s="190"/>
      <c r="C14" s="190"/>
      <c r="D14" s="190"/>
      <c r="E14" s="190"/>
    </row>
    <row r="15" spans="1:6" x14ac:dyDescent="0.25">
      <c r="A15" s="8"/>
      <c r="B15" s="8"/>
      <c r="C15" s="8"/>
      <c r="D15" s="8"/>
      <c r="E15" s="8"/>
    </row>
    <row r="16" spans="1:6" ht="95.25" customHeight="1" x14ac:dyDescent="0.25">
      <c r="A16" s="9" t="s">
        <v>12</v>
      </c>
      <c r="B16" s="9" t="s">
        <v>13</v>
      </c>
      <c r="C16" s="9" t="s">
        <v>14</v>
      </c>
      <c r="D16" s="9" t="s">
        <v>15</v>
      </c>
      <c r="E16" s="9" t="s">
        <v>16</v>
      </c>
    </row>
    <row r="17" spans="1:5" ht="123.75" customHeight="1" x14ac:dyDescent="0.25">
      <c r="A17" s="10">
        <v>1</v>
      </c>
      <c r="B17" s="11" t="s">
        <v>239</v>
      </c>
      <c r="C17" s="11" t="s">
        <v>240</v>
      </c>
      <c r="D17" s="12" t="s">
        <v>241</v>
      </c>
      <c r="E17" s="13">
        <f>4932.93*2.4*1.2*0.805*3.83</f>
        <v>43801.813812960005</v>
      </c>
    </row>
    <row r="18" spans="1:5" ht="57.75" customHeight="1" x14ac:dyDescent="0.25">
      <c r="A18" s="10">
        <v>2</v>
      </c>
      <c r="B18" s="104" t="s">
        <v>17</v>
      </c>
      <c r="C18" s="12" t="s">
        <v>18</v>
      </c>
      <c r="D18" s="12" t="s">
        <v>145</v>
      </c>
      <c r="E18" s="13">
        <f>800*1*0.5*3.83</f>
        <v>1532</v>
      </c>
    </row>
    <row r="19" spans="1:5" ht="48" customHeight="1" x14ac:dyDescent="0.25">
      <c r="A19" s="10">
        <v>3</v>
      </c>
      <c r="B19" s="12" t="s">
        <v>20</v>
      </c>
      <c r="C19" s="15" t="s">
        <v>21</v>
      </c>
      <c r="D19" s="16">
        <f>(E17+E18)*0.1</f>
        <v>4533.3813812960007</v>
      </c>
      <c r="E19" s="17">
        <f>D19</f>
        <v>4533.3813812960007</v>
      </c>
    </row>
    <row r="20" spans="1:5" ht="48" customHeight="1" x14ac:dyDescent="0.25">
      <c r="A20" s="10">
        <v>4</v>
      </c>
      <c r="B20" s="12" t="s">
        <v>22</v>
      </c>
      <c r="C20" s="12" t="s">
        <v>89</v>
      </c>
      <c r="D20" s="16"/>
      <c r="E20" s="17">
        <v>9874.7199999999993</v>
      </c>
    </row>
    <row r="21" spans="1:5" ht="48" customHeight="1" x14ac:dyDescent="0.25">
      <c r="A21" s="10">
        <v>5</v>
      </c>
      <c r="B21" s="12" t="s">
        <v>23</v>
      </c>
      <c r="C21" s="15"/>
      <c r="D21" s="16"/>
      <c r="E21" s="17">
        <v>58421</v>
      </c>
    </row>
    <row r="22" spans="1:5" x14ac:dyDescent="0.25">
      <c r="A22" s="18"/>
      <c r="B22" s="19" t="s">
        <v>24</v>
      </c>
      <c r="C22" s="15"/>
      <c r="D22" s="15"/>
      <c r="E22" s="17">
        <f>E20+E19+E18+E17+E21</f>
        <v>118162.915194256</v>
      </c>
    </row>
    <row r="23" spans="1:5" x14ac:dyDescent="0.25">
      <c r="A23" s="18"/>
      <c r="B23" s="19" t="s">
        <v>25</v>
      </c>
      <c r="C23" s="15"/>
      <c r="D23" s="15"/>
      <c r="E23" s="17">
        <f>ROUND(E22*18%,2)</f>
        <v>21269.32</v>
      </c>
    </row>
    <row r="24" spans="1:5" x14ac:dyDescent="0.25">
      <c r="A24" s="18"/>
      <c r="B24" s="19" t="s">
        <v>26</v>
      </c>
      <c r="C24" s="15"/>
      <c r="D24" s="15"/>
      <c r="E24" s="17">
        <f>E22+E23</f>
        <v>139432.23519425601</v>
      </c>
    </row>
    <row r="25" spans="1:5" x14ac:dyDescent="0.25">
      <c r="A25" s="20"/>
      <c r="B25" s="21"/>
      <c r="C25" s="22"/>
      <c r="D25" s="22"/>
      <c r="E25" s="23"/>
    </row>
    <row r="26" spans="1:5" x14ac:dyDescent="0.25">
      <c r="A26" s="1" t="s">
        <v>2</v>
      </c>
    </row>
    <row r="27" spans="1:5" x14ac:dyDescent="0.25">
      <c r="A27" s="1" t="s">
        <v>27</v>
      </c>
    </row>
    <row r="28" spans="1:5" x14ac:dyDescent="0.25">
      <c r="A28" s="1" t="s">
        <v>31</v>
      </c>
    </row>
    <row r="29" spans="1:5" x14ac:dyDescent="0.25">
      <c r="A29" s="4" t="s">
        <v>28</v>
      </c>
    </row>
    <row r="30" spans="1:5" x14ac:dyDescent="0.25">
      <c r="A30" s="1" t="s">
        <v>29</v>
      </c>
    </row>
    <row r="34" spans="5:5" x14ac:dyDescent="0.25">
      <c r="E34" s="1" t="s">
        <v>30</v>
      </c>
    </row>
  </sheetData>
  <mergeCells count="3">
    <mergeCell ref="B1:D1"/>
    <mergeCell ref="A11:E11"/>
    <mergeCell ref="A14:E14"/>
  </mergeCells>
  <pageMargins left="0.19685039370078741" right="0.19685039370078741" top="0.19685039370078741" bottom="0.19685039370078741" header="0.51181102362204722" footer="0.51181102362204722"/>
  <pageSetup paperSize="9" orientation="portrait"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4"/>
  <sheetViews>
    <sheetView topLeftCell="A4" zoomScaleNormal="100" workbookViewId="0">
      <selection activeCell="C31" sqref="C31"/>
    </sheetView>
  </sheetViews>
  <sheetFormatPr defaultRowHeight="15.75" x14ac:dyDescent="0.25"/>
  <cols>
    <col min="1" max="1" width="4.7109375" style="1" customWidth="1"/>
    <col min="2" max="2" width="26.140625" style="1" customWidth="1"/>
    <col min="3" max="3" width="33" style="1" customWidth="1"/>
    <col min="4" max="4" width="26.7109375" style="1" customWidth="1"/>
    <col min="5" max="5" width="11.85546875" style="1" customWidth="1"/>
    <col min="6" max="16384" width="9.140625" style="1"/>
  </cols>
  <sheetData>
    <row r="1" spans="1:5" x14ac:dyDescent="0.25">
      <c r="B1" s="188" t="s">
        <v>55</v>
      </c>
      <c r="C1" s="188"/>
      <c r="D1" s="188"/>
    </row>
    <row r="3" spans="1:5" x14ac:dyDescent="0.25">
      <c r="A3" s="92" t="s">
        <v>230</v>
      </c>
      <c r="B3" s="93"/>
      <c r="C3" s="94"/>
      <c r="D3" s="92" t="s">
        <v>231</v>
      </c>
      <c r="E3"/>
    </row>
    <row r="4" spans="1:5" x14ac:dyDescent="0.25">
      <c r="A4" s="95" t="s">
        <v>232</v>
      </c>
      <c r="B4" s="96"/>
      <c r="C4" s="94"/>
      <c r="D4" s="95" t="s">
        <v>233</v>
      </c>
      <c r="E4"/>
    </row>
    <row r="5" spans="1:5" x14ac:dyDescent="0.25">
      <c r="A5" s="97" t="s">
        <v>4</v>
      </c>
      <c r="B5" s="98"/>
      <c r="C5" s="20"/>
      <c r="D5" s="97" t="s">
        <v>234</v>
      </c>
      <c r="E5" s="99"/>
    </row>
    <row r="6" spans="1:5" x14ac:dyDescent="0.25">
      <c r="A6" s="97" t="s">
        <v>235</v>
      </c>
      <c r="B6" s="98"/>
      <c r="C6" s="100"/>
      <c r="D6" s="97" t="s">
        <v>5</v>
      </c>
      <c r="E6" s="101"/>
    </row>
    <row r="7" spans="1:5" x14ac:dyDescent="0.25">
      <c r="A7"/>
      <c r="B7" s="102"/>
      <c r="C7"/>
      <c r="D7" s="97"/>
      <c r="E7" s="99"/>
    </row>
    <row r="8" spans="1:5" x14ac:dyDescent="0.25">
      <c r="A8" s="97" t="s">
        <v>236</v>
      </c>
      <c r="B8" s="98"/>
      <c r="D8" s="97" t="s">
        <v>237</v>
      </c>
      <c r="E8" s="99"/>
    </row>
    <row r="9" spans="1:5" x14ac:dyDescent="0.25">
      <c r="A9" s="97" t="s">
        <v>246</v>
      </c>
      <c r="B9" s="98"/>
      <c r="D9" s="97" t="s">
        <v>247</v>
      </c>
      <c r="E9" s="98"/>
    </row>
    <row r="10" spans="1:5" x14ac:dyDescent="0.25">
      <c r="A10" s="4"/>
      <c r="D10" s="5"/>
      <c r="E10" s="6"/>
    </row>
    <row r="11" spans="1:5" ht="18" customHeight="1" x14ac:dyDescent="0.25">
      <c r="A11" s="189" t="s">
        <v>10</v>
      </c>
      <c r="B11" s="189"/>
      <c r="C11" s="189"/>
      <c r="D11" s="189"/>
      <c r="E11" s="189"/>
    </row>
    <row r="12" spans="1:5" x14ac:dyDescent="0.25">
      <c r="C12" s="103" t="s">
        <v>159</v>
      </c>
    </row>
    <row r="13" spans="1:5" x14ac:dyDescent="0.25">
      <c r="C13" s="7"/>
    </row>
    <row r="14" spans="1:5" ht="35.25" customHeight="1" x14ac:dyDescent="0.25">
      <c r="A14" s="190" t="s">
        <v>242</v>
      </c>
      <c r="B14" s="190"/>
      <c r="C14" s="190"/>
      <c r="D14" s="190"/>
      <c r="E14" s="190"/>
    </row>
    <row r="15" spans="1:5" x14ac:dyDescent="0.25">
      <c r="A15" s="8"/>
      <c r="B15" s="8"/>
      <c r="C15" s="8"/>
      <c r="D15" s="8"/>
      <c r="E15" s="8"/>
    </row>
    <row r="16" spans="1:5" ht="95.25" customHeight="1" x14ac:dyDescent="0.25">
      <c r="A16" s="9" t="s">
        <v>12</v>
      </c>
      <c r="B16" s="9" t="s">
        <v>13</v>
      </c>
      <c r="C16" s="9" t="s">
        <v>14</v>
      </c>
      <c r="D16" s="9" t="s">
        <v>15</v>
      </c>
      <c r="E16" s="9" t="s">
        <v>16</v>
      </c>
    </row>
    <row r="17" spans="1:5" ht="123.75" customHeight="1" x14ac:dyDescent="0.25">
      <c r="A17" s="10">
        <v>1</v>
      </c>
      <c r="B17" s="11" t="s">
        <v>243</v>
      </c>
      <c r="C17" s="11" t="s">
        <v>244</v>
      </c>
      <c r="D17" s="12" t="s">
        <v>245</v>
      </c>
      <c r="E17" s="13">
        <f>6565*2.4*1.2*0.805*3.83</f>
        <v>58293.733680000012</v>
      </c>
    </row>
    <row r="18" spans="1:5" ht="57.75" customHeight="1" x14ac:dyDescent="0.25">
      <c r="A18" s="10">
        <v>2</v>
      </c>
      <c r="B18" s="104" t="s">
        <v>17</v>
      </c>
      <c r="C18" s="12" t="s">
        <v>18</v>
      </c>
      <c r="D18" s="12" t="s">
        <v>145</v>
      </c>
      <c r="E18" s="13">
        <f>800*1*0.5*3.83</f>
        <v>1532</v>
      </c>
    </row>
    <row r="19" spans="1:5" ht="48" customHeight="1" x14ac:dyDescent="0.25">
      <c r="A19" s="10">
        <v>3</v>
      </c>
      <c r="B19" s="12" t="s">
        <v>20</v>
      </c>
      <c r="C19" s="15" t="s">
        <v>21</v>
      </c>
      <c r="D19" s="16">
        <f>(E17+E18)*0.1</f>
        <v>5982.5733680000012</v>
      </c>
      <c r="E19" s="17">
        <f>D19</f>
        <v>5982.5733680000012</v>
      </c>
    </row>
    <row r="20" spans="1:5" ht="48" customHeight="1" x14ac:dyDescent="0.25">
      <c r="A20" s="10">
        <v>4</v>
      </c>
      <c r="B20" s="12" t="s">
        <v>22</v>
      </c>
      <c r="C20" s="12" t="s">
        <v>89</v>
      </c>
      <c r="D20" s="16"/>
      <c r="E20" s="17">
        <v>4237.29</v>
      </c>
    </row>
    <row r="21" spans="1:5" ht="48" customHeight="1" x14ac:dyDescent="0.25">
      <c r="A21" s="10">
        <v>5</v>
      </c>
      <c r="B21" s="12" t="s">
        <v>23</v>
      </c>
      <c r="C21" s="15"/>
      <c r="D21" s="16"/>
      <c r="E21" s="17">
        <v>79606</v>
      </c>
    </row>
    <row r="22" spans="1:5" x14ac:dyDescent="0.25">
      <c r="A22" s="28">
        <v>6</v>
      </c>
      <c r="B22" s="19" t="s">
        <v>24</v>
      </c>
      <c r="C22" s="15"/>
      <c r="D22" s="15" t="s">
        <v>277</v>
      </c>
      <c r="E22" s="17">
        <f>E20+E19+E18+E17+E21</f>
        <v>149651.59704800003</v>
      </c>
    </row>
    <row r="23" spans="1:5" x14ac:dyDescent="0.25">
      <c r="A23" s="28">
        <v>7</v>
      </c>
      <c r="B23" s="19" t="s">
        <v>249</v>
      </c>
      <c r="C23" s="15"/>
      <c r="D23" s="15" t="s">
        <v>278</v>
      </c>
      <c r="E23" s="17">
        <f>ROUND(E22*20%,2)</f>
        <v>29930.32</v>
      </c>
    </row>
    <row r="24" spans="1:5" x14ac:dyDescent="0.25">
      <c r="A24" s="28">
        <v>8</v>
      </c>
      <c r="B24" s="19" t="s">
        <v>26</v>
      </c>
      <c r="C24" s="15"/>
      <c r="D24" s="15" t="s">
        <v>279</v>
      </c>
      <c r="E24" s="17">
        <f>E22+E23</f>
        <v>179581.91704800003</v>
      </c>
    </row>
    <row r="25" spans="1:5" x14ac:dyDescent="0.25">
      <c r="A25" s="20"/>
      <c r="B25" s="21"/>
      <c r="C25" s="22"/>
      <c r="D25" s="22"/>
      <c r="E25" s="23"/>
    </row>
    <row r="26" spans="1:5" x14ac:dyDescent="0.25">
      <c r="A26" s="1" t="s">
        <v>2</v>
      </c>
    </row>
    <row r="27" spans="1:5" x14ac:dyDescent="0.25">
      <c r="A27" s="1" t="s">
        <v>27</v>
      </c>
    </row>
    <row r="28" spans="1:5" x14ac:dyDescent="0.25">
      <c r="A28" s="1" t="s">
        <v>31</v>
      </c>
    </row>
    <row r="29" spans="1:5" x14ac:dyDescent="0.25">
      <c r="A29" s="4" t="s">
        <v>28</v>
      </c>
    </row>
    <row r="30" spans="1:5" x14ac:dyDescent="0.25">
      <c r="A30" s="1" t="s">
        <v>276</v>
      </c>
    </row>
    <row r="34" spans="5:5" x14ac:dyDescent="0.25">
      <c r="E34" s="1" t="s">
        <v>30</v>
      </c>
    </row>
  </sheetData>
  <mergeCells count="3">
    <mergeCell ref="B1:D1"/>
    <mergeCell ref="A11:E11"/>
    <mergeCell ref="A14:E14"/>
  </mergeCells>
  <pageMargins left="0.19685039370078741" right="0.19685039370078741" top="0.19685039370078741" bottom="0.19685039370078741" header="0.51181102362204722" footer="0.51181102362204722"/>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4"/>
  <sheetViews>
    <sheetView zoomScaleNormal="100" workbookViewId="0">
      <selection activeCell="E20" sqref="E20"/>
    </sheetView>
  </sheetViews>
  <sheetFormatPr defaultRowHeight="15.75" x14ac:dyDescent="0.25"/>
  <cols>
    <col min="1" max="1" width="4.7109375" style="1" customWidth="1"/>
    <col min="2" max="2" width="26.140625" style="1" customWidth="1"/>
    <col min="3" max="3" width="33" style="1" customWidth="1"/>
    <col min="4" max="4" width="26.7109375" style="1" customWidth="1"/>
    <col min="5" max="5" width="11.85546875" style="1" customWidth="1"/>
    <col min="6" max="16384" width="9.140625" style="1"/>
  </cols>
  <sheetData>
    <row r="1" spans="1:5" x14ac:dyDescent="0.25">
      <c r="B1" s="188" t="s">
        <v>0</v>
      </c>
      <c r="C1" s="188"/>
      <c r="D1" s="188"/>
    </row>
    <row r="3" spans="1:5" x14ac:dyDescent="0.25">
      <c r="A3" s="1" t="s">
        <v>1</v>
      </c>
      <c r="D3" s="2" t="s">
        <v>2</v>
      </c>
      <c r="E3" s="3"/>
    </row>
    <row r="4" spans="1:5" x14ac:dyDescent="0.25">
      <c r="A4" s="1" t="s">
        <v>3</v>
      </c>
      <c r="D4" s="2" t="s">
        <v>4</v>
      </c>
      <c r="E4" s="3"/>
    </row>
    <row r="5" spans="1:5" x14ac:dyDescent="0.25">
      <c r="A5" s="1" t="s">
        <v>5</v>
      </c>
      <c r="D5" s="2" t="s">
        <v>6</v>
      </c>
      <c r="E5" s="3"/>
    </row>
    <row r="6" spans="1:5" x14ac:dyDescent="0.25">
      <c r="D6" s="3"/>
      <c r="E6" s="3"/>
    </row>
    <row r="7" spans="1:5" x14ac:dyDescent="0.25">
      <c r="A7" s="4" t="s">
        <v>7</v>
      </c>
      <c r="D7" s="2" t="s">
        <v>8</v>
      </c>
      <c r="E7" s="3"/>
    </row>
    <row r="8" spans="1:5" x14ac:dyDescent="0.25">
      <c r="A8" s="4" t="s">
        <v>9</v>
      </c>
      <c r="D8" s="2" t="str">
        <f>A8</f>
        <v>"___" ___________ 2017 г.</v>
      </c>
      <c r="E8" s="3"/>
    </row>
    <row r="9" spans="1:5" x14ac:dyDescent="0.25">
      <c r="A9" s="4"/>
      <c r="D9" s="5"/>
      <c r="E9" s="6"/>
    </row>
    <row r="10" spans="1:5" ht="18" customHeight="1" x14ac:dyDescent="0.25">
      <c r="A10" s="189" t="s">
        <v>10</v>
      </c>
      <c r="B10" s="189"/>
      <c r="C10" s="189"/>
      <c r="D10" s="189"/>
      <c r="E10" s="189"/>
    </row>
    <row r="11" spans="1:5" x14ac:dyDescent="0.25">
      <c r="C11" s="7" t="s">
        <v>11</v>
      </c>
    </row>
    <row r="12" spans="1:5" x14ac:dyDescent="0.25">
      <c r="C12" s="7"/>
    </row>
    <row r="13" spans="1:5" ht="33" customHeight="1" x14ac:dyDescent="0.25">
      <c r="A13" s="190" t="s">
        <v>40</v>
      </c>
      <c r="B13" s="190"/>
      <c r="C13" s="190"/>
      <c r="D13" s="190"/>
      <c r="E13" s="190"/>
    </row>
    <row r="14" spans="1:5" ht="0.75" customHeight="1" x14ac:dyDescent="0.25">
      <c r="A14" s="190"/>
      <c r="B14" s="190"/>
      <c r="C14" s="190"/>
      <c r="D14" s="190"/>
      <c r="E14" s="190"/>
    </row>
    <row r="15" spans="1:5" x14ac:dyDescent="0.25">
      <c r="A15" s="8"/>
      <c r="B15" s="8"/>
      <c r="C15" s="8"/>
      <c r="D15" s="8"/>
      <c r="E15" s="8"/>
    </row>
    <row r="16" spans="1:5" ht="95.25" customHeight="1" x14ac:dyDescent="0.25">
      <c r="A16" s="9" t="s">
        <v>12</v>
      </c>
      <c r="B16" s="9" t="s">
        <v>13</v>
      </c>
      <c r="C16" s="9" t="s">
        <v>14</v>
      </c>
      <c r="D16" s="9" t="s">
        <v>15</v>
      </c>
      <c r="E16" s="9" t="s">
        <v>16</v>
      </c>
    </row>
    <row r="17" spans="1:5" ht="123.75" customHeight="1" x14ac:dyDescent="0.25">
      <c r="A17" s="10">
        <v>1</v>
      </c>
      <c r="B17" s="11" t="s">
        <v>41</v>
      </c>
      <c r="C17" s="11" t="s">
        <v>42</v>
      </c>
      <c r="D17" s="12" t="s">
        <v>43</v>
      </c>
      <c r="E17" s="13">
        <f>2000.26*2.4*1.2*0.805*3.99</f>
        <v>18503.237108159999</v>
      </c>
    </row>
    <row r="18" spans="1:5" ht="57.75" customHeight="1" x14ac:dyDescent="0.25">
      <c r="A18" s="10">
        <v>2</v>
      </c>
      <c r="B18" s="14" t="s">
        <v>17</v>
      </c>
      <c r="C18" s="12" t="s">
        <v>18</v>
      </c>
      <c r="D18" s="12" t="s">
        <v>44</v>
      </c>
      <c r="E18" s="13">
        <f>800*2*0.5*3.99</f>
        <v>3192</v>
      </c>
    </row>
    <row r="19" spans="1:5" ht="48" customHeight="1" x14ac:dyDescent="0.25">
      <c r="A19" s="10">
        <v>3</v>
      </c>
      <c r="B19" s="12" t="s">
        <v>20</v>
      </c>
      <c r="C19" s="15" t="s">
        <v>21</v>
      </c>
      <c r="D19" s="16">
        <f>(E17+E18)*0.1</f>
        <v>2169.5237108159999</v>
      </c>
      <c r="E19" s="17">
        <f>D19</f>
        <v>2169.5237108159999</v>
      </c>
    </row>
    <row r="20" spans="1:5" ht="48" customHeight="1" x14ac:dyDescent="0.25">
      <c r="A20" s="10">
        <v>4</v>
      </c>
      <c r="B20" s="12" t="s">
        <v>22</v>
      </c>
      <c r="C20" s="15"/>
      <c r="D20" s="16"/>
      <c r="E20" s="17">
        <v>10000</v>
      </c>
    </row>
    <row r="21" spans="1:5" ht="48" customHeight="1" x14ac:dyDescent="0.25">
      <c r="A21" s="10">
        <v>5</v>
      </c>
      <c r="B21" s="12" t="s">
        <v>23</v>
      </c>
      <c r="C21" s="15"/>
      <c r="D21" s="16"/>
      <c r="E21" s="17">
        <v>35235.389799999997</v>
      </c>
    </row>
    <row r="22" spans="1:5" x14ac:dyDescent="0.25">
      <c r="A22" s="18"/>
      <c r="B22" s="19" t="s">
        <v>24</v>
      </c>
      <c r="C22" s="15"/>
      <c r="D22" s="15"/>
      <c r="E22" s="17">
        <f>E21+E20+E19+E18+E17</f>
        <v>69100.150618975997</v>
      </c>
    </row>
    <row r="23" spans="1:5" x14ac:dyDescent="0.25">
      <c r="A23" s="18"/>
      <c r="B23" s="19" t="s">
        <v>25</v>
      </c>
      <c r="C23" s="15"/>
      <c r="D23" s="15"/>
      <c r="E23" s="17">
        <f>ROUND(E22*18%,2)</f>
        <v>12438.03</v>
      </c>
    </row>
    <row r="24" spans="1:5" x14ac:dyDescent="0.25">
      <c r="A24" s="18"/>
      <c r="B24" s="19" t="s">
        <v>26</v>
      </c>
      <c r="C24" s="15"/>
      <c r="D24" s="15"/>
      <c r="E24" s="17">
        <f>E22+E23</f>
        <v>81538.180618975995</v>
      </c>
    </row>
    <row r="25" spans="1:5" x14ac:dyDescent="0.25">
      <c r="A25" s="20"/>
      <c r="B25" s="21"/>
      <c r="C25" s="22"/>
      <c r="D25" s="22"/>
      <c r="E25" s="23"/>
    </row>
    <row r="26" spans="1:5" x14ac:dyDescent="0.25">
      <c r="A26" s="1" t="s">
        <v>2</v>
      </c>
    </row>
    <row r="27" spans="1:5" x14ac:dyDescent="0.25">
      <c r="A27" s="1" t="s">
        <v>27</v>
      </c>
    </row>
    <row r="28" spans="1:5" x14ac:dyDescent="0.25">
      <c r="A28" s="1" t="s">
        <v>31</v>
      </c>
    </row>
    <row r="29" spans="1:5" x14ac:dyDescent="0.25">
      <c r="A29" s="4" t="s">
        <v>28</v>
      </c>
    </row>
    <row r="30" spans="1:5" x14ac:dyDescent="0.25">
      <c r="A30" s="1" t="s">
        <v>29</v>
      </c>
    </row>
    <row r="34" spans="5:5" x14ac:dyDescent="0.25">
      <c r="E34" s="1" t="s">
        <v>30</v>
      </c>
    </row>
  </sheetData>
  <mergeCells count="4">
    <mergeCell ref="B1:D1"/>
    <mergeCell ref="A10:E10"/>
    <mergeCell ref="A13:E13"/>
    <mergeCell ref="A14:E14"/>
  </mergeCells>
  <pageMargins left="0.19685039370078741" right="0.19685039370078741" top="0.19685039370078741" bottom="0.19685039370078741" header="0.51181102362204722" footer="0.51181102362204722"/>
  <pageSetup paperSize="9" orientation="portrait" r:id="rId1"/>
  <headerFooter alignWithMargins="0"/>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4"/>
  <sheetViews>
    <sheetView zoomScaleNormal="100" workbookViewId="0">
      <selection activeCell="E24" sqref="E24"/>
    </sheetView>
  </sheetViews>
  <sheetFormatPr defaultRowHeight="15.75" x14ac:dyDescent="0.25"/>
  <cols>
    <col min="1" max="1" width="4.7109375" style="1" customWidth="1"/>
    <col min="2" max="2" width="26.140625" style="1" customWidth="1"/>
    <col min="3" max="3" width="33" style="1" customWidth="1"/>
    <col min="4" max="4" width="26.7109375" style="1" customWidth="1"/>
    <col min="5" max="5" width="11.85546875" style="1" customWidth="1"/>
    <col min="6" max="16384" width="9.140625" style="1"/>
  </cols>
  <sheetData>
    <row r="1" spans="1:5" x14ac:dyDescent="0.25">
      <c r="B1" s="188" t="s">
        <v>55</v>
      </c>
      <c r="C1" s="188"/>
      <c r="D1" s="188"/>
    </row>
    <row r="3" spans="1:5" x14ac:dyDescent="0.25">
      <c r="A3" s="92" t="s">
        <v>230</v>
      </c>
      <c r="B3" s="93"/>
      <c r="C3" s="94"/>
      <c r="D3" s="92" t="s">
        <v>231</v>
      </c>
      <c r="E3"/>
    </row>
    <row r="4" spans="1:5" x14ac:dyDescent="0.25">
      <c r="A4" s="95" t="s">
        <v>232</v>
      </c>
      <c r="B4" s="96"/>
      <c r="C4" s="94"/>
      <c r="D4" s="95" t="s">
        <v>233</v>
      </c>
      <c r="E4"/>
    </row>
    <row r="5" spans="1:5" x14ac:dyDescent="0.25">
      <c r="A5" s="97" t="s">
        <v>4</v>
      </c>
      <c r="B5" s="98"/>
      <c r="C5" s="20"/>
      <c r="D5" s="97" t="s">
        <v>234</v>
      </c>
      <c r="E5" s="99"/>
    </row>
    <row r="6" spans="1:5" x14ac:dyDescent="0.25">
      <c r="A6" s="97" t="s">
        <v>235</v>
      </c>
      <c r="B6" s="98"/>
      <c r="C6" s="100"/>
      <c r="D6" s="97" t="s">
        <v>5</v>
      </c>
      <c r="E6" s="101"/>
    </row>
    <row r="7" spans="1:5" x14ac:dyDescent="0.25">
      <c r="A7"/>
      <c r="B7" s="102"/>
      <c r="C7"/>
      <c r="D7" s="97"/>
      <c r="E7" s="99"/>
    </row>
    <row r="8" spans="1:5" x14ac:dyDescent="0.25">
      <c r="A8" s="97" t="s">
        <v>236</v>
      </c>
      <c r="B8" s="98"/>
      <c r="D8" s="97" t="s">
        <v>237</v>
      </c>
      <c r="E8" s="99"/>
    </row>
    <row r="9" spans="1:5" x14ac:dyDescent="0.25">
      <c r="A9" s="97" t="s">
        <v>246</v>
      </c>
      <c r="B9" s="98"/>
      <c r="D9" s="97" t="s">
        <v>247</v>
      </c>
      <c r="E9" s="98"/>
    </row>
    <row r="10" spans="1:5" x14ac:dyDescent="0.25">
      <c r="A10" s="4"/>
      <c r="D10" s="5"/>
      <c r="E10" s="6"/>
    </row>
    <row r="11" spans="1:5" ht="18" customHeight="1" x14ac:dyDescent="0.25">
      <c r="A11" s="189" t="s">
        <v>10</v>
      </c>
      <c r="B11" s="189"/>
      <c r="C11" s="189"/>
      <c r="D11" s="189"/>
      <c r="E11" s="189"/>
    </row>
    <row r="12" spans="1:5" x14ac:dyDescent="0.25">
      <c r="C12" s="105" t="s">
        <v>159</v>
      </c>
    </row>
    <row r="13" spans="1:5" x14ac:dyDescent="0.25">
      <c r="C13" s="7"/>
    </row>
    <row r="14" spans="1:5" ht="35.25" customHeight="1" x14ac:dyDescent="0.25">
      <c r="A14" s="190" t="s">
        <v>248</v>
      </c>
      <c r="B14" s="190"/>
      <c r="C14" s="190"/>
      <c r="D14" s="190"/>
      <c r="E14" s="190"/>
    </row>
    <row r="15" spans="1:5" x14ac:dyDescent="0.25">
      <c r="A15" s="8"/>
      <c r="B15" s="8"/>
      <c r="C15" s="8"/>
      <c r="D15" s="8"/>
      <c r="E15" s="8"/>
    </row>
    <row r="16" spans="1:5" ht="95.25" customHeight="1" x14ac:dyDescent="0.25">
      <c r="A16" s="9" t="s">
        <v>12</v>
      </c>
      <c r="B16" s="9" t="s">
        <v>13</v>
      </c>
      <c r="C16" s="9" t="s">
        <v>14</v>
      </c>
      <c r="D16" s="9" t="s">
        <v>15</v>
      </c>
      <c r="E16" s="9" t="s">
        <v>16</v>
      </c>
    </row>
    <row r="17" spans="1:5" ht="123.75" customHeight="1" x14ac:dyDescent="0.25">
      <c r="A17" s="10">
        <v>1</v>
      </c>
      <c r="B17" s="11" t="s">
        <v>250</v>
      </c>
      <c r="C17" s="11" t="s">
        <v>251</v>
      </c>
      <c r="D17" s="12" t="s">
        <v>252</v>
      </c>
      <c r="E17" s="13">
        <f>1319.52*2.4*1.2*0.805*3.83</f>
        <v>11716.640893440001</v>
      </c>
    </row>
    <row r="18" spans="1:5" ht="57.75" customHeight="1" x14ac:dyDescent="0.25">
      <c r="A18" s="10">
        <v>2</v>
      </c>
      <c r="B18" s="106" t="s">
        <v>17</v>
      </c>
      <c r="C18" s="12" t="s">
        <v>18</v>
      </c>
      <c r="D18" s="12" t="s">
        <v>145</v>
      </c>
      <c r="E18" s="13">
        <f>800*1*0.5*3.83</f>
        <v>1532</v>
      </c>
    </row>
    <row r="19" spans="1:5" ht="48" customHeight="1" x14ac:dyDescent="0.25">
      <c r="A19" s="10">
        <v>3</v>
      </c>
      <c r="B19" s="12" t="s">
        <v>20</v>
      </c>
      <c r="C19" s="15" t="s">
        <v>21</v>
      </c>
      <c r="D19" s="16">
        <f>(E17+E18)*0.1</f>
        <v>1324.8640893440001</v>
      </c>
      <c r="E19" s="17">
        <f>D19</f>
        <v>1324.8640893440001</v>
      </c>
    </row>
    <row r="20" spans="1:5" ht="48" customHeight="1" x14ac:dyDescent="0.25">
      <c r="A20" s="10">
        <v>4</v>
      </c>
      <c r="B20" s="12" t="s">
        <v>22</v>
      </c>
      <c r="C20" s="12" t="s">
        <v>89</v>
      </c>
      <c r="D20" s="16"/>
      <c r="E20" s="17">
        <v>16752.55</v>
      </c>
    </row>
    <row r="21" spans="1:5" ht="48" customHeight="1" x14ac:dyDescent="0.25">
      <c r="A21" s="10">
        <v>5</v>
      </c>
      <c r="B21" s="12" t="s">
        <v>23</v>
      </c>
      <c r="C21" s="15"/>
      <c r="D21" s="16"/>
      <c r="E21" s="17">
        <v>22506.55</v>
      </c>
    </row>
    <row r="22" spans="1:5" x14ac:dyDescent="0.25">
      <c r="A22" s="126">
        <v>6</v>
      </c>
      <c r="B22" s="19" t="s">
        <v>24</v>
      </c>
      <c r="C22" s="15"/>
      <c r="D22" s="15"/>
      <c r="E22" s="17">
        <f>E20+E19+E18+E17+E21</f>
        <v>53832.604982784003</v>
      </c>
    </row>
    <row r="23" spans="1:5" x14ac:dyDescent="0.25">
      <c r="A23" s="126">
        <v>7</v>
      </c>
      <c r="B23" s="19" t="s">
        <v>249</v>
      </c>
      <c r="C23" s="15"/>
      <c r="D23" s="15"/>
      <c r="E23" s="17">
        <f>ROUND(E22*20%,2)</f>
        <v>10766.52</v>
      </c>
    </row>
    <row r="24" spans="1:5" x14ac:dyDescent="0.25">
      <c r="A24" s="126">
        <v>8</v>
      </c>
      <c r="B24" s="19" t="s">
        <v>26</v>
      </c>
      <c r="C24" s="15"/>
      <c r="D24" s="15"/>
      <c r="E24" s="17">
        <f>E22+E23</f>
        <v>64599.124982784007</v>
      </c>
    </row>
    <row r="25" spans="1:5" x14ac:dyDescent="0.25">
      <c r="A25" s="20"/>
      <c r="B25" s="21"/>
      <c r="C25" s="22"/>
      <c r="D25" s="22"/>
      <c r="E25" s="23"/>
    </row>
    <row r="26" spans="1:5" x14ac:dyDescent="0.25">
      <c r="A26" s="1" t="s">
        <v>2</v>
      </c>
    </row>
    <row r="27" spans="1:5" x14ac:dyDescent="0.25">
      <c r="A27" s="1" t="s">
        <v>27</v>
      </c>
    </row>
    <row r="28" spans="1:5" x14ac:dyDescent="0.25">
      <c r="A28" s="1" t="s">
        <v>31</v>
      </c>
    </row>
    <row r="29" spans="1:5" x14ac:dyDescent="0.25">
      <c r="A29" s="4" t="s">
        <v>28</v>
      </c>
    </row>
    <row r="30" spans="1:5" x14ac:dyDescent="0.25">
      <c r="A30" s="1" t="s">
        <v>29</v>
      </c>
    </row>
    <row r="34" spans="5:5" x14ac:dyDescent="0.25">
      <c r="E34" s="1" t="s">
        <v>30</v>
      </c>
    </row>
  </sheetData>
  <mergeCells count="3">
    <mergeCell ref="B1:D1"/>
    <mergeCell ref="A11:E11"/>
    <mergeCell ref="A14:E14"/>
  </mergeCells>
  <pageMargins left="0.19685039370078741" right="0.19685039370078741" top="0.19685039370078741" bottom="0.19685039370078741" header="0.51181102362204722" footer="0.51181102362204722"/>
  <pageSetup paperSize="9" orientation="portrait"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2"/>
  <sheetViews>
    <sheetView topLeftCell="A16" zoomScaleNormal="100" workbookViewId="0">
      <selection activeCell="C17" sqref="C17"/>
    </sheetView>
  </sheetViews>
  <sheetFormatPr defaultRowHeight="15.75" x14ac:dyDescent="0.25"/>
  <cols>
    <col min="1" max="1" width="4.7109375" style="1" customWidth="1"/>
    <col min="2" max="2" width="26.140625" style="1" customWidth="1"/>
    <col min="3" max="3" width="33" style="1" customWidth="1"/>
    <col min="4" max="4" width="26.7109375" style="1" customWidth="1"/>
    <col min="5" max="5" width="11.85546875" style="1" customWidth="1"/>
    <col min="6" max="16384" width="9.140625" style="1"/>
  </cols>
  <sheetData>
    <row r="1" spans="1:5" x14ac:dyDescent="0.25">
      <c r="B1" s="188" t="s">
        <v>55</v>
      </c>
      <c r="C1" s="188"/>
      <c r="D1" s="188"/>
    </row>
    <row r="3" spans="1:5" x14ac:dyDescent="0.25">
      <c r="A3" s="92" t="s">
        <v>230</v>
      </c>
      <c r="B3" s="93"/>
      <c r="C3" s="94"/>
      <c r="D3" s="92" t="s">
        <v>231</v>
      </c>
      <c r="E3"/>
    </row>
    <row r="4" spans="1:5" x14ac:dyDescent="0.25">
      <c r="A4" s="95" t="s">
        <v>232</v>
      </c>
      <c r="B4" s="96"/>
      <c r="C4" s="94"/>
      <c r="D4" s="95" t="s">
        <v>233</v>
      </c>
      <c r="E4"/>
    </row>
    <row r="5" spans="1:5" x14ac:dyDescent="0.25">
      <c r="A5" s="97" t="s">
        <v>4</v>
      </c>
      <c r="B5" s="98"/>
      <c r="C5" s="20"/>
      <c r="D5" s="97" t="s">
        <v>234</v>
      </c>
      <c r="E5" s="99"/>
    </row>
    <row r="6" spans="1:5" x14ac:dyDescent="0.25">
      <c r="A6" s="97" t="s">
        <v>235</v>
      </c>
      <c r="B6" s="98"/>
      <c r="C6" s="100"/>
      <c r="D6" s="97" t="s">
        <v>5</v>
      </c>
      <c r="E6" s="101"/>
    </row>
    <row r="7" spans="1:5" x14ac:dyDescent="0.25">
      <c r="A7"/>
      <c r="B7" s="102"/>
      <c r="C7"/>
      <c r="D7" s="97"/>
      <c r="E7" s="99"/>
    </row>
    <row r="8" spans="1:5" x14ac:dyDescent="0.25">
      <c r="A8" s="97" t="s">
        <v>236</v>
      </c>
      <c r="B8" s="98"/>
      <c r="D8" s="97" t="s">
        <v>237</v>
      </c>
      <c r="E8" s="99"/>
    </row>
    <row r="9" spans="1:5" x14ac:dyDescent="0.25">
      <c r="A9" s="97" t="s">
        <v>246</v>
      </c>
      <c r="B9" s="98"/>
      <c r="D9" s="97" t="s">
        <v>247</v>
      </c>
      <c r="E9" s="98"/>
    </row>
    <row r="10" spans="1:5" x14ac:dyDescent="0.25">
      <c r="A10" s="4"/>
      <c r="D10" s="5"/>
      <c r="E10" s="6"/>
    </row>
    <row r="11" spans="1:5" ht="18" customHeight="1" x14ac:dyDescent="0.25">
      <c r="A11" s="189" t="s">
        <v>10</v>
      </c>
      <c r="B11" s="189"/>
      <c r="C11" s="189"/>
      <c r="D11" s="189"/>
      <c r="E11" s="189"/>
    </row>
    <row r="12" spans="1:5" x14ac:dyDescent="0.25">
      <c r="C12" s="107" t="s">
        <v>159</v>
      </c>
    </row>
    <row r="13" spans="1:5" x14ac:dyDescent="0.25">
      <c r="C13" s="7"/>
    </row>
    <row r="14" spans="1:5" ht="35.25" customHeight="1" x14ac:dyDescent="0.25">
      <c r="A14" s="190" t="s">
        <v>253</v>
      </c>
      <c r="B14" s="190"/>
      <c r="C14" s="190"/>
      <c r="D14" s="190"/>
      <c r="E14" s="190"/>
    </row>
    <row r="15" spans="1:5" x14ac:dyDescent="0.25">
      <c r="A15" s="8"/>
      <c r="B15" s="8"/>
      <c r="C15" s="8"/>
      <c r="D15" s="8"/>
      <c r="E15" s="8"/>
    </row>
    <row r="16" spans="1:5" ht="95.25" customHeight="1" x14ac:dyDescent="0.25">
      <c r="A16" s="9" t="s">
        <v>12</v>
      </c>
      <c r="B16" s="9" t="s">
        <v>13</v>
      </c>
      <c r="C16" s="9" t="s">
        <v>14</v>
      </c>
      <c r="D16" s="9" t="s">
        <v>15</v>
      </c>
      <c r="E16" s="9" t="s">
        <v>16</v>
      </c>
    </row>
    <row r="17" spans="1:5" ht="123.75" customHeight="1" x14ac:dyDescent="0.25">
      <c r="A17" s="10">
        <v>1</v>
      </c>
      <c r="B17" s="11" t="s">
        <v>254</v>
      </c>
      <c r="C17" s="11" t="s">
        <v>255</v>
      </c>
      <c r="D17" s="12" t="s">
        <v>256</v>
      </c>
      <c r="E17" s="13">
        <f>1120.62*2.4*1.2*0.805*3.83</f>
        <v>9950.5139126400009</v>
      </c>
    </row>
    <row r="18" spans="1:5" ht="57.75" customHeight="1" x14ac:dyDescent="0.25">
      <c r="A18" s="10">
        <v>2</v>
      </c>
      <c r="B18" s="108" t="s">
        <v>17</v>
      </c>
      <c r="C18" s="12" t="s">
        <v>18</v>
      </c>
      <c r="D18" s="12" t="s">
        <v>145</v>
      </c>
      <c r="E18" s="13">
        <f>800*1*0.5*3.83</f>
        <v>1532</v>
      </c>
    </row>
    <row r="19" spans="1:5" ht="48" customHeight="1" x14ac:dyDescent="0.25">
      <c r="A19" s="10">
        <v>3</v>
      </c>
      <c r="B19" s="12" t="s">
        <v>20</v>
      </c>
      <c r="C19" s="15" t="s">
        <v>21</v>
      </c>
      <c r="D19" s="16">
        <f>(E17+E18)*0.1</f>
        <v>1148.2513912640002</v>
      </c>
      <c r="E19" s="17">
        <f>D19</f>
        <v>1148.2513912640002</v>
      </c>
    </row>
    <row r="20" spans="1:5" x14ac:dyDescent="0.25">
      <c r="A20" s="28">
        <v>4</v>
      </c>
      <c r="B20" s="19" t="s">
        <v>24</v>
      </c>
      <c r="C20" s="15" t="s">
        <v>257</v>
      </c>
      <c r="D20" s="15"/>
      <c r="E20" s="17">
        <f>E19+E18+E17</f>
        <v>12630.765303904001</v>
      </c>
    </row>
    <row r="21" spans="1:5" x14ac:dyDescent="0.25">
      <c r="A21" s="28">
        <v>5</v>
      </c>
      <c r="B21" s="19" t="s">
        <v>249</v>
      </c>
      <c r="C21" s="15" t="s">
        <v>258</v>
      </c>
      <c r="D21" s="15"/>
      <c r="E21" s="17">
        <f>ROUND(E20*20%,2)</f>
        <v>2526.15</v>
      </c>
    </row>
    <row r="22" spans="1:5" x14ac:dyDescent="0.25">
      <c r="A22" s="28">
        <v>6</v>
      </c>
      <c r="B22" s="19" t="s">
        <v>26</v>
      </c>
      <c r="C22" s="15" t="s">
        <v>259</v>
      </c>
      <c r="D22" s="15"/>
      <c r="E22" s="17">
        <f>E20+E21</f>
        <v>15156.915303904001</v>
      </c>
    </row>
    <row r="23" spans="1:5" x14ac:dyDescent="0.25">
      <c r="A23" s="20"/>
      <c r="B23" s="21"/>
      <c r="C23" s="22"/>
      <c r="D23" s="22"/>
      <c r="E23" s="23"/>
    </row>
    <row r="24" spans="1:5" x14ac:dyDescent="0.25">
      <c r="A24" s="1" t="s">
        <v>2</v>
      </c>
    </row>
    <row r="25" spans="1:5" x14ac:dyDescent="0.25">
      <c r="A25" s="1" t="s">
        <v>27</v>
      </c>
    </row>
    <row r="26" spans="1:5" x14ac:dyDescent="0.25">
      <c r="A26" s="1" t="s">
        <v>31</v>
      </c>
    </row>
    <row r="27" spans="1:5" x14ac:dyDescent="0.25">
      <c r="A27" s="4" t="s">
        <v>28</v>
      </c>
    </row>
    <row r="28" spans="1:5" x14ac:dyDescent="0.25">
      <c r="A28" s="1" t="s">
        <v>260</v>
      </c>
    </row>
    <row r="32" spans="1:5" x14ac:dyDescent="0.25">
      <c r="E32" s="1" t="s">
        <v>30</v>
      </c>
    </row>
  </sheetData>
  <mergeCells count="3">
    <mergeCell ref="B1:D1"/>
    <mergeCell ref="A11:E11"/>
    <mergeCell ref="A14:E14"/>
  </mergeCells>
  <pageMargins left="0.19685039370078741" right="0.19685039370078741" top="0.19685039370078741" bottom="0.19685039370078741" header="0.51181102362204722" footer="0.51181102362204722"/>
  <pageSetup paperSize="9" orientation="portrait" r:id="rId1"/>
  <headerFooter alignWithMargins="0"/>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4"/>
  <sheetViews>
    <sheetView topLeftCell="A16" zoomScaleNormal="100" workbookViewId="0">
      <selection activeCell="C20" sqref="C20"/>
    </sheetView>
  </sheetViews>
  <sheetFormatPr defaultRowHeight="15.75" x14ac:dyDescent="0.25"/>
  <cols>
    <col min="1" max="1" width="4.7109375" style="1" customWidth="1"/>
    <col min="2" max="2" width="26.140625" style="1" customWidth="1"/>
    <col min="3" max="3" width="33" style="1" customWidth="1"/>
    <col min="4" max="4" width="26.7109375" style="1" customWidth="1"/>
    <col min="5" max="5" width="11.85546875" style="1" customWidth="1"/>
    <col min="6" max="16384" width="9.140625" style="1"/>
  </cols>
  <sheetData>
    <row r="1" spans="1:5" x14ac:dyDescent="0.25">
      <c r="B1" s="188" t="s">
        <v>55</v>
      </c>
      <c r="C1" s="188"/>
      <c r="D1" s="188"/>
    </row>
    <row r="3" spans="1:5" x14ac:dyDescent="0.25">
      <c r="A3" s="92" t="s">
        <v>230</v>
      </c>
      <c r="B3" s="93"/>
      <c r="C3" s="94"/>
      <c r="D3" s="92" t="s">
        <v>231</v>
      </c>
      <c r="E3"/>
    </row>
    <row r="4" spans="1:5" x14ac:dyDescent="0.25">
      <c r="A4" s="95" t="s">
        <v>232</v>
      </c>
      <c r="B4" s="96"/>
      <c r="C4" s="94"/>
      <c r="D4" s="95" t="s">
        <v>233</v>
      </c>
      <c r="E4"/>
    </row>
    <row r="5" spans="1:5" x14ac:dyDescent="0.25">
      <c r="A5" s="97" t="s">
        <v>4</v>
      </c>
      <c r="B5" s="98"/>
      <c r="C5" s="20"/>
      <c r="D5" s="97" t="s">
        <v>183</v>
      </c>
      <c r="E5" s="99"/>
    </row>
    <row r="6" spans="1:5" x14ac:dyDescent="0.25">
      <c r="A6" s="97" t="s">
        <v>235</v>
      </c>
      <c r="B6" s="98"/>
      <c r="C6" s="100"/>
      <c r="D6" s="97" t="s">
        <v>5</v>
      </c>
      <c r="E6" s="101"/>
    </row>
    <row r="7" spans="1:5" x14ac:dyDescent="0.25">
      <c r="A7"/>
      <c r="B7" s="102"/>
      <c r="C7"/>
      <c r="D7" s="97"/>
      <c r="E7" s="99"/>
    </row>
    <row r="8" spans="1:5" x14ac:dyDescent="0.25">
      <c r="A8" s="97" t="s">
        <v>236</v>
      </c>
      <c r="B8" s="98"/>
      <c r="D8" s="97" t="s">
        <v>237</v>
      </c>
      <c r="E8" s="99"/>
    </row>
    <row r="9" spans="1:5" x14ac:dyDescent="0.25">
      <c r="A9" s="97" t="s">
        <v>246</v>
      </c>
      <c r="B9" s="98"/>
      <c r="D9" s="97" t="s">
        <v>247</v>
      </c>
      <c r="E9" s="98"/>
    </row>
    <row r="10" spans="1:5" x14ac:dyDescent="0.25">
      <c r="A10" s="4"/>
      <c r="D10" s="5"/>
      <c r="E10" s="6"/>
    </row>
    <row r="11" spans="1:5" ht="18" customHeight="1" x14ac:dyDescent="0.25">
      <c r="A11" s="189" t="s">
        <v>10</v>
      </c>
      <c r="B11" s="189"/>
      <c r="C11" s="189"/>
      <c r="D11" s="189"/>
      <c r="E11" s="189"/>
    </row>
    <row r="12" spans="1:5" x14ac:dyDescent="0.25">
      <c r="C12" s="109" t="s">
        <v>159</v>
      </c>
    </row>
    <row r="13" spans="1:5" x14ac:dyDescent="0.25">
      <c r="C13" s="7"/>
    </row>
    <row r="14" spans="1:5" ht="35.25" customHeight="1" x14ac:dyDescent="0.25">
      <c r="A14" s="190" t="s">
        <v>261</v>
      </c>
      <c r="B14" s="190"/>
      <c r="C14" s="190"/>
      <c r="D14" s="190"/>
      <c r="E14" s="190"/>
    </row>
    <row r="15" spans="1:5" x14ac:dyDescent="0.25">
      <c r="A15" s="8"/>
      <c r="B15" s="8"/>
      <c r="C15" s="8"/>
      <c r="D15" s="8"/>
      <c r="E15" s="8"/>
    </row>
    <row r="16" spans="1:5" ht="95.25" customHeight="1" x14ac:dyDescent="0.25">
      <c r="A16" s="9" t="s">
        <v>12</v>
      </c>
      <c r="B16" s="9" t="s">
        <v>13</v>
      </c>
      <c r="C16" s="9" t="s">
        <v>14</v>
      </c>
      <c r="D16" s="9" t="s">
        <v>15</v>
      </c>
      <c r="E16" s="9" t="s">
        <v>16</v>
      </c>
    </row>
    <row r="17" spans="1:5" ht="123.75" customHeight="1" x14ac:dyDescent="0.25">
      <c r="A17" s="10">
        <v>1</v>
      </c>
      <c r="B17" s="11" t="s">
        <v>262</v>
      </c>
      <c r="C17" s="11" t="s">
        <v>263</v>
      </c>
      <c r="D17" s="12" t="s">
        <v>264</v>
      </c>
      <c r="E17" s="13">
        <f>9495.66*2.4*1.2*0.805*3.83</f>
        <v>84316.447091519993</v>
      </c>
    </row>
    <row r="18" spans="1:5" ht="57.75" customHeight="1" x14ac:dyDescent="0.25">
      <c r="A18" s="10">
        <v>2</v>
      </c>
      <c r="B18" s="110" t="s">
        <v>17</v>
      </c>
      <c r="C18" s="12" t="s">
        <v>18</v>
      </c>
      <c r="D18" s="12" t="s">
        <v>168</v>
      </c>
      <c r="E18" s="13">
        <f>800*2*0.5*3.83</f>
        <v>3064</v>
      </c>
    </row>
    <row r="19" spans="1:5" ht="48" customHeight="1" x14ac:dyDescent="0.25">
      <c r="A19" s="10">
        <v>3</v>
      </c>
      <c r="B19" s="12" t="s">
        <v>20</v>
      </c>
      <c r="C19" s="15" t="s">
        <v>21</v>
      </c>
      <c r="D19" s="16">
        <f>(E17+E18)*0.1</f>
        <v>8738.044709152</v>
      </c>
      <c r="E19" s="17">
        <f>D19</f>
        <v>8738.044709152</v>
      </c>
    </row>
    <row r="20" spans="1:5" ht="48" customHeight="1" x14ac:dyDescent="0.25">
      <c r="A20" s="10">
        <v>4</v>
      </c>
      <c r="B20" s="12" t="s">
        <v>22</v>
      </c>
      <c r="C20" s="12" t="s">
        <v>89</v>
      </c>
      <c r="D20" s="16"/>
      <c r="E20" s="17">
        <v>16666.669999999998</v>
      </c>
    </row>
    <row r="21" spans="1:5" ht="48" customHeight="1" x14ac:dyDescent="0.25">
      <c r="A21" s="10">
        <v>5</v>
      </c>
      <c r="B21" s="12" t="s">
        <v>23</v>
      </c>
      <c r="C21" s="15"/>
      <c r="D21" s="16"/>
      <c r="E21" s="17">
        <v>50032</v>
      </c>
    </row>
    <row r="22" spans="1:5" x14ac:dyDescent="0.25">
      <c r="A22" s="28">
        <v>6</v>
      </c>
      <c r="B22" s="19" t="s">
        <v>24</v>
      </c>
      <c r="C22" s="15" t="s">
        <v>266</v>
      </c>
      <c r="D22" s="15"/>
      <c r="E22" s="17">
        <f>E20+E19+E18+E17+E21</f>
        <v>162817.16180067201</v>
      </c>
    </row>
    <row r="23" spans="1:5" x14ac:dyDescent="0.25">
      <c r="A23" s="28">
        <v>7</v>
      </c>
      <c r="B23" s="19" t="s">
        <v>249</v>
      </c>
      <c r="C23" s="15" t="s">
        <v>267</v>
      </c>
      <c r="D23" s="15"/>
      <c r="E23" s="17">
        <f>ROUND(E22*20%,2)</f>
        <v>32563.43</v>
      </c>
    </row>
    <row r="24" spans="1:5" x14ac:dyDescent="0.25">
      <c r="A24" s="28">
        <v>8</v>
      </c>
      <c r="B24" s="19" t="s">
        <v>26</v>
      </c>
      <c r="C24" s="15" t="s">
        <v>268</v>
      </c>
      <c r="D24" s="15"/>
      <c r="E24" s="17">
        <f>E22+E23</f>
        <v>195380.591800672</v>
      </c>
    </row>
    <row r="25" spans="1:5" x14ac:dyDescent="0.25">
      <c r="A25" s="20"/>
      <c r="B25" s="21"/>
      <c r="C25" s="22"/>
      <c r="D25" s="22"/>
      <c r="E25" s="23"/>
    </row>
    <row r="26" spans="1:5" x14ac:dyDescent="0.25">
      <c r="A26" s="1" t="s">
        <v>2</v>
      </c>
    </row>
    <row r="27" spans="1:5" x14ac:dyDescent="0.25">
      <c r="A27" s="1" t="s">
        <v>27</v>
      </c>
    </row>
    <row r="28" spans="1:5" x14ac:dyDescent="0.25">
      <c r="A28" s="1" t="s">
        <v>31</v>
      </c>
    </row>
    <row r="29" spans="1:5" x14ac:dyDescent="0.25">
      <c r="A29" s="4" t="s">
        <v>28</v>
      </c>
    </row>
    <row r="30" spans="1:5" x14ac:dyDescent="0.25">
      <c r="A30" s="1" t="s">
        <v>265</v>
      </c>
    </row>
    <row r="34" spans="5:5" x14ac:dyDescent="0.25">
      <c r="E34" s="1" t="s">
        <v>30</v>
      </c>
    </row>
  </sheetData>
  <mergeCells count="3">
    <mergeCell ref="B1:D1"/>
    <mergeCell ref="A11:E11"/>
    <mergeCell ref="A14:E14"/>
  </mergeCells>
  <pageMargins left="0.19685039370078741" right="0.19685039370078741" top="0.19685039370078741" bottom="0.19685039370078741" header="0.51181102362204722" footer="0.51181102362204722"/>
  <pageSetup paperSize="9" orientation="portrait"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44"/>
  <sheetViews>
    <sheetView topLeftCell="A15" zoomScaleNormal="100" workbookViewId="0">
      <selection activeCell="B34" sqref="B34:C34"/>
    </sheetView>
  </sheetViews>
  <sheetFormatPr defaultColWidth="11.5703125" defaultRowHeight="12.75" x14ac:dyDescent="0.2"/>
  <cols>
    <col min="1" max="1" width="3.7109375" style="50" customWidth="1"/>
    <col min="2" max="2" width="10.7109375" style="50" customWidth="1"/>
    <col min="3" max="3" width="10.28515625" style="50" customWidth="1"/>
    <col min="4" max="6" width="9.28515625" style="50" customWidth="1"/>
    <col min="7" max="7" width="19.42578125" style="50" customWidth="1"/>
    <col min="8" max="8" width="16.5703125" style="50" customWidth="1"/>
    <col min="9" max="9" width="13.5703125" style="50" customWidth="1"/>
    <col min="10" max="10" width="19.7109375" style="51" customWidth="1"/>
    <col min="11" max="256" width="11.5703125" style="51"/>
    <col min="257" max="257" width="3.7109375" style="51" customWidth="1"/>
    <col min="258" max="259" width="10.7109375" style="51" customWidth="1"/>
    <col min="260" max="263" width="9.28515625" style="51" customWidth="1"/>
    <col min="264" max="264" width="14.5703125" style="51" customWidth="1"/>
    <col min="265" max="265" width="17.7109375" style="51" customWidth="1"/>
    <col min="266" max="266" width="19.7109375" style="51" customWidth="1"/>
    <col min="267" max="512" width="11.5703125" style="51"/>
    <col min="513" max="513" width="3.7109375" style="51" customWidth="1"/>
    <col min="514" max="515" width="10.7109375" style="51" customWidth="1"/>
    <col min="516" max="519" width="9.28515625" style="51" customWidth="1"/>
    <col min="520" max="520" width="14.5703125" style="51" customWidth="1"/>
    <col min="521" max="521" width="17.7109375" style="51" customWidth="1"/>
    <col min="522" max="522" width="19.7109375" style="51" customWidth="1"/>
    <col min="523" max="768" width="11.5703125" style="51"/>
    <col min="769" max="769" width="3.7109375" style="51" customWidth="1"/>
    <col min="770" max="771" width="10.7109375" style="51" customWidth="1"/>
    <col min="772" max="775" width="9.28515625" style="51" customWidth="1"/>
    <col min="776" max="776" width="14.5703125" style="51" customWidth="1"/>
    <col min="777" max="777" width="17.7109375" style="51" customWidth="1"/>
    <col min="778" max="778" width="19.7109375" style="51" customWidth="1"/>
    <col min="779" max="1024" width="11.5703125" style="51"/>
    <col min="1025" max="1025" width="3.7109375" style="51" customWidth="1"/>
    <col min="1026" max="1027" width="10.7109375" style="51" customWidth="1"/>
    <col min="1028" max="1031" width="9.28515625" style="51" customWidth="1"/>
    <col min="1032" max="1032" width="14.5703125" style="51" customWidth="1"/>
    <col min="1033" max="1033" width="17.7109375" style="51" customWidth="1"/>
    <col min="1034" max="1034" width="19.7109375" style="51" customWidth="1"/>
    <col min="1035" max="1280" width="11.5703125" style="51"/>
    <col min="1281" max="1281" width="3.7109375" style="51" customWidth="1"/>
    <col min="1282" max="1283" width="10.7109375" style="51" customWidth="1"/>
    <col min="1284" max="1287" width="9.28515625" style="51" customWidth="1"/>
    <col min="1288" max="1288" width="14.5703125" style="51" customWidth="1"/>
    <col min="1289" max="1289" width="17.7109375" style="51" customWidth="1"/>
    <col min="1290" max="1290" width="19.7109375" style="51" customWidth="1"/>
    <col min="1291" max="1536" width="11.5703125" style="51"/>
    <col min="1537" max="1537" width="3.7109375" style="51" customWidth="1"/>
    <col min="1538" max="1539" width="10.7109375" style="51" customWidth="1"/>
    <col min="1540" max="1543" width="9.28515625" style="51" customWidth="1"/>
    <col min="1544" max="1544" width="14.5703125" style="51" customWidth="1"/>
    <col min="1545" max="1545" width="17.7109375" style="51" customWidth="1"/>
    <col min="1546" max="1546" width="19.7109375" style="51" customWidth="1"/>
    <col min="1547" max="1792" width="11.5703125" style="51"/>
    <col min="1793" max="1793" width="3.7109375" style="51" customWidth="1"/>
    <col min="1794" max="1795" width="10.7109375" style="51" customWidth="1"/>
    <col min="1796" max="1799" width="9.28515625" style="51" customWidth="1"/>
    <col min="1800" max="1800" width="14.5703125" style="51" customWidth="1"/>
    <col min="1801" max="1801" width="17.7109375" style="51" customWidth="1"/>
    <col min="1802" max="1802" width="19.7109375" style="51" customWidth="1"/>
    <col min="1803" max="2048" width="11.5703125" style="51"/>
    <col min="2049" max="2049" width="3.7109375" style="51" customWidth="1"/>
    <col min="2050" max="2051" width="10.7109375" style="51" customWidth="1"/>
    <col min="2052" max="2055" width="9.28515625" style="51" customWidth="1"/>
    <col min="2056" max="2056" width="14.5703125" style="51" customWidth="1"/>
    <col min="2057" max="2057" width="17.7109375" style="51" customWidth="1"/>
    <col min="2058" max="2058" width="19.7109375" style="51" customWidth="1"/>
    <col min="2059" max="2304" width="11.5703125" style="51"/>
    <col min="2305" max="2305" width="3.7109375" style="51" customWidth="1"/>
    <col min="2306" max="2307" width="10.7109375" style="51" customWidth="1"/>
    <col min="2308" max="2311" width="9.28515625" style="51" customWidth="1"/>
    <col min="2312" max="2312" width="14.5703125" style="51" customWidth="1"/>
    <col min="2313" max="2313" width="17.7109375" style="51" customWidth="1"/>
    <col min="2314" max="2314" width="19.7109375" style="51" customWidth="1"/>
    <col min="2315" max="2560" width="11.5703125" style="51"/>
    <col min="2561" max="2561" width="3.7109375" style="51" customWidth="1"/>
    <col min="2562" max="2563" width="10.7109375" style="51" customWidth="1"/>
    <col min="2564" max="2567" width="9.28515625" style="51" customWidth="1"/>
    <col min="2568" max="2568" width="14.5703125" style="51" customWidth="1"/>
    <col min="2569" max="2569" width="17.7109375" style="51" customWidth="1"/>
    <col min="2570" max="2570" width="19.7109375" style="51" customWidth="1"/>
    <col min="2571" max="2816" width="11.5703125" style="51"/>
    <col min="2817" max="2817" width="3.7109375" style="51" customWidth="1"/>
    <col min="2818" max="2819" width="10.7109375" style="51" customWidth="1"/>
    <col min="2820" max="2823" width="9.28515625" style="51" customWidth="1"/>
    <col min="2824" max="2824" width="14.5703125" style="51" customWidth="1"/>
    <col min="2825" max="2825" width="17.7109375" style="51" customWidth="1"/>
    <col min="2826" max="2826" width="19.7109375" style="51" customWidth="1"/>
    <col min="2827" max="3072" width="11.5703125" style="51"/>
    <col min="3073" max="3073" width="3.7109375" style="51" customWidth="1"/>
    <col min="3074" max="3075" width="10.7109375" style="51" customWidth="1"/>
    <col min="3076" max="3079" width="9.28515625" style="51" customWidth="1"/>
    <col min="3080" max="3080" width="14.5703125" style="51" customWidth="1"/>
    <col min="3081" max="3081" width="17.7109375" style="51" customWidth="1"/>
    <col min="3082" max="3082" width="19.7109375" style="51" customWidth="1"/>
    <col min="3083" max="3328" width="11.5703125" style="51"/>
    <col min="3329" max="3329" width="3.7109375" style="51" customWidth="1"/>
    <col min="3330" max="3331" width="10.7109375" style="51" customWidth="1"/>
    <col min="3332" max="3335" width="9.28515625" style="51" customWidth="1"/>
    <col min="3336" max="3336" width="14.5703125" style="51" customWidth="1"/>
    <col min="3337" max="3337" width="17.7109375" style="51" customWidth="1"/>
    <col min="3338" max="3338" width="19.7109375" style="51" customWidth="1"/>
    <col min="3339" max="3584" width="11.5703125" style="51"/>
    <col min="3585" max="3585" width="3.7109375" style="51" customWidth="1"/>
    <col min="3586" max="3587" width="10.7109375" style="51" customWidth="1"/>
    <col min="3588" max="3591" width="9.28515625" style="51" customWidth="1"/>
    <col min="3592" max="3592" width="14.5703125" style="51" customWidth="1"/>
    <col min="3593" max="3593" width="17.7109375" style="51" customWidth="1"/>
    <col min="3594" max="3594" width="19.7109375" style="51" customWidth="1"/>
    <col min="3595" max="3840" width="11.5703125" style="51"/>
    <col min="3841" max="3841" width="3.7109375" style="51" customWidth="1"/>
    <col min="3842" max="3843" width="10.7109375" style="51" customWidth="1"/>
    <col min="3844" max="3847" width="9.28515625" style="51" customWidth="1"/>
    <col min="3848" max="3848" width="14.5703125" style="51" customWidth="1"/>
    <col min="3849" max="3849" width="17.7109375" style="51" customWidth="1"/>
    <col min="3850" max="3850" width="19.7109375" style="51" customWidth="1"/>
    <col min="3851" max="4096" width="11.5703125" style="51"/>
    <col min="4097" max="4097" width="3.7109375" style="51" customWidth="1"/>
    <col min="4098" max="4099" width="10.7109375" style="51" customWidth="1"/>
    <col min="4100" max="4103" width="9.28515625" style="51" customWidth="1"/>
    <col min="4104" max="4104" width="14.5703125" style="51" customWidth="1"/>
    <col min="4105" max="4105" width="17.7109375" style="51" customWidth="1"/>
    <col min="4106" max="4106" width="19.7109375" style="51" customWidth="1"/>
    <col min="4107" max="4352" width="11.5703125" style="51"/>
    <col min="4353" max="4353" width="3.7109375" style="51" customWidth="1"/>
    <col min="4354" max="4355" width="10.7109375" style="51" customWidth="1"/>
    <col min="4356" max="4359" width="9.28515625" style="51" customWidth="1"/>
    <col min="4360" max="4360" width="14.5703125" style="51" customWidth="1"/>
    <col min="4361" max="4361" width="17.7109375" style="51" customWidth="1"/>
    <col min="4362" max="4362" width="19.7109375" style="51" customWidth="1"/>
    <col min="4363" max="4608" width="11.5703125" style="51"/>
    <col min="4609" max="4609" width="3.7109375" style="51" customWidth="1"/>
    <col min="4610" max="4611" width="10.7109375" style="51" customWidth="1"/>
    <col min="4612" max="4615" width="9.28515625" style="51" customWidth="1"/>
    <col min="4616" max="4616" width="14.5703125" style="51" customWidth="1"/>
    <col min="4617" max="4617" width="17.7109375" style="51" customWidth="1"/>
    <col min="4618" max="4618" width="19.7109375" style="51" customWidth="1"/>
    <col min="4619" max="4864" width="11.5703125" style="51"/>
    <col min="4865" max="4865" width="3.7109375" style="51" customWidth="1"/>
    <col min="4866" max="4867" width="10.7109375" style="51" customWidth="1"/>
    <col min="4868" max="4871" width="9.28515625" style="51" customWidth="1"/>
    <col min="4872" max="4872" width="14.5703125" style="51" customWidth="1"/>
    <col min="4873" max="4873" width="17.7109375" style="51" customWidth="1"/>
    <col min="4874" max="4874" width="19.7109375" style="51" customWidth="1"/>
    <col min="4875" max="5120" width="11.5703125" style="51"/>
    <col min="5121" max="5121" width="3.7109375" style="51" customWidth="1"/>
    <col min="5122" max="5123" width="10.7109375" style="51" customWidth="1"/>
    <col min="5124" max="5127" width="9.28515625" style="51" customWidth="1"/>
    <col min="5128" max="5128" width="14.5703125" style="51" customWidth="1"/>
    <col min="5129" max="5129" width="17.7109375" style="51" customWidth="1"/>
    <col min="5130" max="5130" width="19.7109375" style="51" customWidth="1"/>
    <col min="5131" max="5376" width="11.5703125" style="51"/>
    <col min="5377" max="5377" width="3.7109375" style="51" customWidth="1"/>
    <col min="5378" max="5379" width="10.7109375" style="51" customWidth="1"/>
    <col min="5380" max="5383" width="9.28515625" style="51" customWidth="1"/>
    <col min="5384" max="5384" width="14.5703125" style="51" customWidth="1"/>
    <col min="5385" max="5385" width="17.7109375" style="51" customWidth="1"/>
    <col min="5386" max="5386" width="19.7109375" style="51" customWidth="1"/>
    <col min="5387" max="5632" width="11.5703125" style="51"/>
    <col min="5633" max="5633" width="3.7109375" style="51" customWidth="1"/>
    <col min="5634" max="5635" width="10.7109375" style="51" customWidth="1"/>
    <col min="5636" max="5639" width="9.28515625" style="51" customWidth="1"/>
    <col min="5640" max="5640" width="14.5703125" style="51" customWidth="1"/>
    <col min="5641" max="5641" width="17.7109375" style="51" customWidth="1"/>
    <col min="5642" max="5642" width="19.7109375" style="51" customWidth="1"/>
    <col min="5643" max="5888" width="11.5703125" style="51"/>
    <col min="5889" max="5889" width="3.7109375" style="51" customWidth="1"/>
    <col min="5890" max="5891" width="10.7109375" style="51" customWidth="1"/>
    <col min="5892" max="5895" width="9.28515625" style="51" customWidth="1"/>
    <col min="5896" max="5896" width="14.5703125" style="51" customWidth="1"/>
    <col min="5897" max="5897" width="17.7109375" style="51" customWidth="1"/>
    <col min="5898" max="5898" width="19.7109375" style="51" customWidth="1"/>
    <col min="5899" max="6144" width="11.5703125" style="51"/>
    <col min="6145" max="6145" width="3.7109375" style="51" customWidth="1"/>
    <col min="6146" max="6147" width="10.7109375" style="51" customWidth="1"/>
    <col min="6148" max="6151" width="9.28515625" style="51" customWidth="1"/>
    <col min="6152" max="6152" width="14.5703125" style="51" customWidth="1"/>
    <col min="6153" max="6153" width="17.7109375" style="51" customWidth="1"/>
    <col min="6154" max="6154" width="19.7109375" style="51" customWidth="1"/>
    <col min="6155" max="6400" width="11.5703125" style="51"/>
    <col min="6401" max="6401" width="3.7109375" style="51" customWidth="1"/>
    <col min="6402" max="6403" width="10.7109375" style="51" customWidth="1"/>
    <col min="6404" max="6407" width="9.28515625" style="51" customWidth="1"/>
    <col min="6408" max="6408" width="14.5703125" style="51" customWidth="1"/>
    <col min="6409" max="6409" width="17.7109375" style="51" customWidth="1"/>
    <col min="6410" max="6410" width="19.7109375" style="51" customWidth="1"/>
    <col min="6411" max="6656" width="11.5703125" style="51"/>
    <col min="6657" max="6657" width="3.7109375" style="51" customWidth="1"/>
    <col min="6658" max="6659" width="10.7109375" style="51" customWidth="1"/>
    <col min="6660" max="6663" width="9.28515625" style="51" customWidth="1"/>
    <col min="6664" max="6664" width="14.5703125" style="51" customWidth="1"/>
    <col min="6665" max="6665" width="17.7109375" style="51" customWidth="1"/>
    <col min="6666" max="6666" width="19.7109375" style="51" customWidth="1"/>
    <col min="6667" max="6912" width="11.5703125" style="51"/>
    <col min="6913" max="6913" width="3.7109375" style="51" customWidth="1"/>
    <col min="6914" max="6915" width="10.7109375" style="51" customWidth="1"/>
    <col min="6916" max="6919" width="9.28515625" style="51" customWidth="1"/>
    <col min="6920" max="6920" width="14.5703125" style="51" customWidth="1"/>
    <col min="6921" max="6921" width="17.7109375" style="51" customWidth="1"/>
    <col min="6922" max="6922" width="19.7109375" style="51" customWidth="1"/>
    <col min="6923" max="7168" width="11.5703125" style="51"/>
    <col min="7169" max="7169" width="3.7109375" style="51" customWidth="1"/>
    <col min="7170" max="7171" width="10.7109375" style="51" customWidth="1"/>
    <col min="7172" max="7175" width="9.28515625" style="51" customWidth="1"/>
    <col min="7176" max="7176" width="14.5703125" style="51" customWidth="1"/>
    <col min="7177" max="7177" width="17.7109375" style="51" customWidth="1"/>
    <col min="7178" max="7178" width="19.7109375" style="51" customWidth="1"/>
    <col min="7179" max="7424" width="11.5703125" style="51"/>
    <col min="7425" max="7425" width="3.7109375" style="51" customWidth="1"/>
    <col min="7426" max="7427" width="10.7109375" style="51" customWidth="1"/>
    <col min="7428" max="7431" width="9.28515625" style="51" customWidth="1"/>
    <col min="7432" max="7432" width="14.5703125" style="51" customWidth="1"/>
    <col min="7433" max="7433" width="17.7109375" style="51" customWidth="1"/>
    <col min="7434" max="7434" width="19.7109375" style="51" customWidth="1"/>
    <col min="7435" max="7680" width="11.5703125" style="51"/>
    <col min="7681" max="7681" width="3.7109375" style="51" customWidth="1"/>
    <col min="7682" max="7683" width="10.7109375" style="51" customWidth="1"/>
    <col min="7684" max="7687" width="9.28515625" style="51" customWidth="1"/>
    <col min="7688" max="7688" width="14.5703125" style="51" customWidth="1"/>
    <col min="7689" max="7689" width="17.7109375" style="51" customWidth="1"/>
    <col min="7690" max="7690" width="19.7109375" style="51" customWidth="1"/>
    <col min="7691" max="7936" width="11.5703125" style="51"/>
    <col min="7937" max="7937" width="3.7109375" style="51" customWidth="1"/>
    <col min="7938" max="7939" width="10.7109375" style="51" customWidth="1"/>
    <col min="7940" max="7943" width="9.28515625" style="51" customWidth="1"/>
    <col min="7944" max="7944" width="14.5703125" style="51" customWidth="1"/>
    <col min="7945" max="7945" width="17.7109375" style="51" customWidth="1"/>
    <col min="7946" max="7946" width="19.7109375" style="51" customWidth="1"/>
    <col min="7947" max="8192" width="11.5703125" style="51"/>
    <col min="8193" max="8193" width="3.7109375" style="51" customWidth="1"/>
    <col min="8194" max="8195" width="10.7109375" style="51" customWidth="1"/>
    <col min="8196" max="8199" width="9.28515625" style="51" customWidth="1"/>
    <col min="8200" max="8200" width="14.5703125" style="51" customWidth="1"/>
    <col min="8201" max="8201" width="17.7109375" style="51" customWidth="1"/>
    <col min="8202" max="8202" width="19.7109375" style="51" customWidth="1"/>
    <col min="8203" max="8448" width="11.5703125" style="51"/>
    <col min="8449" max="8449" width="3.7109375" style="51" customWidth="1"/>
    <col min="8450" max="8451" width="10.7109375" style="51" customWidth="1"/>
    <col min="8452" max="8455" width="9.28515625" style="51" customWidth="1"/>
    <col min="8456" max="8456" width="14.5703125" style="51" customWidth="1"/>
    <col min="8457" max="8457" width="17.7109375" style="51" customWidth="1"/>
    <col min="8458" max="8458" width="19.7109375" style="51" customWidth="1"/>
    <col min="8459" max="8704" width="11.5703125" style="51"/>
    <col min="8705" max="8705" width="3.7109375" style="51" customWidth="1"/>
    <col min="8706" max="8707" width="10.7109375" style="51" customWidth="1"/>
    <col min="8708" max="8711" width="9.28515625" style="51" customWidth="1"/>
    <col min="8712" max="8712" width="14.5703125" style="51" customWidth="1"/>
    <col min="8713" max="8713" width="17.7109375" style="51" customWidth="1"/>
    <col min="8714" max="8714" width="19.7109375" style="51" customWidth="1"/>
    <col min="8715" max="8960" width="11.5703125" style="51"/>
    <col min="8961" max="8961" width="3.7109375" style="51" customWidth="1"/>
    <col min="8962" max="8963" width="10.7109375" style="51" customWidth="1"/>
    <col min="8964" max="8967" width="9.28515625" style="51" customWidth="1"/>
    <col min="8968" max="8968" width="14.5703125" style="51" customWidth="1"/>
    <col min="8969" max="8969" width="17.7109375" style="51" customWidth="1"/>
    <col min="8970" max="8970" width="19.7109375" style="51" customWidth="1"/>
    <col min="8971" max="9216" width="11.5703125" style="51"/>
    <col min="9217" max="9217" width="3.7109375" style="51" customWidth="1"/>
    <col min="9218" max="9219" width="10.7109375" style="51" customWidth="1"/>
    <col min="9220" max="9223" width="9.28515625" style="51" customWidth="1"/>
    <col min="9224" max="9224" width="14.5703125" style="51" customWidth="1"/>
    <col min="9225" max="9225" width="17.7109375" style="51" customWidth="1"/>
    <col min="9226" max="9226" width="19.7109375" style="51" customWidth="1"/>
    <col min="9227" max="9472" width="11.5703125" style="51"/>
    <col min="9473" max="9473" width="3.7109375" style="51" customWidth="1"/>
    <col min="9474" max="9475" width="10.7109375" style="51" customWidth="1"/>
    <col min="9476" max="9479" width="9.28515625" style="51" customWidth="1"/>
    <col min="9480" max="9480" width="14.5703125" style="51" customWidth="1"/>
    <col min="9481" max="9481" width="17.7109375" style="51" customWidth="1"/>
    <col min="9482" max="9482" width="19.7109375" style="51" customWidth="1"/>
    <col min="9483" max="9728" width="11.5703125" style="51"/>
    <col min="9729" max="9729" width="3.7109375" style="51" customWidth="1"/>
    <col min="9730" max="9731" width="10.7109375" style="51" customWidth="1"/>
    <col min="9732" max="9735" width="9.28515625" style="51" customWidth="1"/>
    <col min="9736" max="9736" width="14.5703125" style="51" customWidth="1"/>
    <col min="9737" max="9737" width="17.7109375" style="51" customWidth="1"/>
    <col min="9738" max="9738" width="19.7109375" style="51" customWidth="1"/>
    <col min="9739" max="9984" width="11.5703125" style="51"/>
    <col min="9985" max="9985" width="3.7109375" style="51" customWidth="1"/>
    <col min="9986" max="9987" width="10.7109375" style="51" customWidth="1"/>
    <col min="9988" max="9991" width="9.28515625" style="51" customWidth="1"/>
    <col min="9992" max="9992" width="14.5703125" style="51" customWidth="1"/>
    <col min="9993" max="9993" width="17.7109375" style="51" customWidth="1"/>
    <col min="9994" max="9994" width="19.7109375" style="51" customWidth="1"/>
    <col min="9995" max="10240" width="11.5703125" style="51"/>
    <col min="10241" max="10241" width="3.7109375" style="51" customWidth="1"/>
    <col min="10242" max="10243" width="10.7109375" style="51" customWidth="1"/>
    <col min="10244" max="10247" width="9.28515625" style="51" customWidth="1"/>
    <col min="10248" max="10248" width="14.5703125" style="51" customWidth="1"/>
    <col min="10249" max="10249" width="17.7109375" style="51" customWidth="1"/>
    <col min="10250" max="10250" width="19.7109375" style="51" customWidth="1"/>
    <col min="10251" max="10496" width="11.5703125" style="51"/>
    <col min="10497" max="10497" width="3.7109375" style="51" customWidth="1"/>
    <col min="10498" max="10499" width="10.7109375" style="51" customWidth="1"/>
    <col min="10500" max="10503" width="9.28515625" style="51" customWidth="1"/>
    <col min="10504" max="10504" width="14.5703125" style="51" customWidth="1"/>
    <col min="10505" max="10505" width="17.7109375" style="51" customWidth="1"/>
    <col min="10506" max="10506" width="19.7109375" style="51" customWidth="1"/>
    <col min="10507" max="10752" width="11.5703125" style="51"/>
    <col min="10753" max="10753" width="3.7109375" style="51" customWidth="1"/>
    <col min="10754" max="10755" width="10.7109375" style="51" customWidth="1"/>
    <col min="10756" max="10759" width="9.28515625" style="51" customWidth="1"/>
    <col min="10760" max="10760" width="14.5703125" style="51" customWidth="1"/>
    <col min="10761" max="10761" width="17.7109375" style="51" customWidth="1"/>
    <col min="10762" max="10762" width="19.7109375" style="51" customWidth="1"/>
    <col min="10763" max="11008" width="11.5703125" style="51"/>
    <col min="11009" max="11009" width="3.7109375" style="51" customWidth="1"/>
    <col min="11010" max="11011" width="10.7109375" style="51" customWidth="1"/>
    <col min="11012" max="11015" width="9.28515625" style="51" customWidth="1"/>
    <col min="11016" max="11016" width="14.5703125" style="51" customWidth="1"/>
    <col min="11017" max="11017" width="17.7109375" style="51" customWidth="1"/>
    <col min="11018" max="11018" width="19.7109375" style="51" customWidth="1"/>
    <col min="11019" max="11264" width="11.5703125" style="51"/>
    <col min="11265" max="11265" width="3.7109375" style="51" customWidth="1"/>
    <col min="11266" max="11267" width="10.7109375" style="51" customWidth="1"/>
    <col min="11268" max="11271" width="9.28515625" style="51" customWidth="1"/>
    <col min="11272" max="11272" width="14.5703125" style="51" customWidth="1"/>
    <col min="11273" max="11273" width="17.7109375" style="51" customWidth="1"/>
    <col min="11274" max="11274" width="19.7109375" style="51" customWidth="1"/>
    <col min="11275" max="11520" width="11.5703125" style="51"/>
    <col min="11521" max="11521" width="3.7109375" style="51" customWidth="1"/>
    <col min="11522" max="11523" width="10.7109375" style="51" customWidth="1"/>
    <col min="11524" max="11527" width="9.28515625" style="51" customWidth="1"/>
    <col min="11528" max="11528" width="14.5703125" style="51" customWidth="1"/>
    <col min="11529" max="11529" width="17.7109375" style="51" customWidth="1"/>
    <col min="11530" max="11530" width="19.7109375" style="51" customWidth="1"/>
    <col min="11531" max="11776" width="11.5703125" style="51"/>
    <col min="11777" max="11777" width="3.7109375" style="51" customWidth="1"/>
    <col min="11778" max="11779" width="10.7109375" style="51" customWidth="1"/>
    <col min="11780" max="11783" width="9.28515625" style="51" customWidth="1"/>
    <col min="11784" max="11784" width="14.5703125" style="51" customWidth="1"/>
    <col min="11785" max="11785" width="17.7109375" style="51" customWidth="1"/>
    <col min="11786" max="11786" width="19.7109375" style="51" customWidth="1"/>
    <col min="11787" max="12032" width="11.5703125" style="51"/>
    <col min="12033" max="12033" width="3.7109375" style="51" customWidth="1"/>
    <col min="12034" max="12035" width="10.7109375" style="51" customWidth="1"/>
    <col min="12036" max="12039" width="9.28515625" style="51" customWidth="1"/>
    <col min="12040" max="12040" width="14.5703125" style="51" customWidth="1"/>
    <col min="12041" max="12041" width="17.7109375" style="51" customWidth="1"/>
    <col min="12042" max="12042" width="19.7109375" style="51" customWidth="1"/>
    <col min="12043" max="12288" width="11.5703125" style="51"/>
    <col min="12289" max="12289" width="3.7109375" style="51" customWidth="1"/>
    <col min="12290" max="12291" width="10.7109375" style="51" customWidth="1"/>
    <col min="12292" max="12295" width="9.28515625" style="51" customWidth="1"/>
    <col min="12296" max="12296" width="14.5703125" style="51" customWidth="1"/>
    <col min="12297" max="12297" width="17.7109375" style="51" customWidth="1"/>
    <col min="12298" max="12298" width="19.7109375" style="51" customWidth="1"/>
    <col min="12299" max="12544" width="11.5703125" style="51"/>
    <col min="12545" max="12545" width="3.7109375" style="51" customWidth="1"/>
    <col min="12546" max="12547" width="10.7109375" style="51" customWidth="1"/>
    <col min="12548" max="12551" width="9.28515625" style="51" customWidth="1"/>
    <col min="12552" max="12552" width="14.5703125" style="51" customWidth="1"/>
    <col min="12553" max="12553" width="17.7109375" style="51" customWidth="1"/>
    <col min="12554" max="12554" width="19.7109375" style="51" customWidth="1"/>
    <col min="12555" max="12800" width="11.5703125" style="51"/>
    <col min="12801" max="12801" width="3.7109375" style="51" customWidth="1"/>
    <col min="12802" max="12803" width="10.7109375" style="51" customWidth="1"/>
    <col min="12804" max="12807" width="9.28515625" style="51" customWidth="1"/>
    <col min="12808" max="12808" width="14.5703125" style="51" customWidth="1"/>
    <col min="12809" max="12809" width="17.7109375" style="51" customWidth="1"/>
    <col min="12810" max="12810" width="19.7109375" style="51" customWidth="1"/>
    <col min="12811" max="13056" width="11.5703125" style="51"/>
    <col min="13057" max="13057" width="3.7109375" style="51" customWidth="1"/>
    <col min="13058" max="13059" width="10.7109375" style="51" customWidth="1"/>
    <col min="13060" max="13063" width="9.28515625" style="51" customWidth="1"/>
    <col min="13064" max="13064" width="14.5703125" style="51" customWidth="1"/>
    <col min="13065" max="13065" width="17.7109375" style="51" customWidth="1"/>
    <col min="13066" max="13066" width="19.7109375" style="51" customWidth="1"/>
    <col min="13067" max="13312" width="11.5703125" style="51"/>
    <col min="13313" max="13313" width="3.7109375" style="51" customWidth="1"/>
    <col min="13314" max="13315" width="10.7109375" style="51" customWidth="1"/>
    <col min="13316" max="13319" width="9.28515625" style="51" customWidth="1"/>
    <col min="13320" max="13320" width="14.5703125" style="51" customWidth="1"/>
    <col min="13321" max="13321" width="17.7109375" style="51" customWidth="1"/>
    <col min="13322" max="13322" width="19.7109375" style="51" customWidth="1"/>
    <col min="13323" max="13568" width="11.5703125" style="51"/>
    <col min="13569" max="13569" width="3.7109375" style="51" customWidth="1"/>
    <col min="13570" max="13571" width="10.7109375" style="51" customWidth="1"/>
    <col min="13572" max="13575" width="9.28515625" style="51" customWidth="1"/>
    <col min="13576" max="13576" width="14.5703125" style="51" customWidth="1"/>
    <col min="13577" max="13577" width="17.7109375" style="51" customWidth="1"/>
    <col min="13578" max="13578" width="19.7109375" style="51" customWidth="1"/>
    <col min="13579" max="13824" width="11.5703125" style="51"/>
    <col min="13825" max="13825" width="3.7109375" style="51" customWidth="1"/>
    <col min="13826" max="13827" width="10.7109375" style="51" customWidth="1"/>
    <col min="13828" max="13831" width="9.28515625" style="51" customWidth="1"/>
    <col min="13832" max="13832" width="14.5703125" style="51" customWidth="1"/>
    <col min="13833" max="13833" width="17.7109375" style="51" customWidth="1"/>
    <col min="13834" max="13834" width="19.7109375" style="51" customWidth="1"/>
    <col min="13835" max="14080" width="11.5703125" style="51"/>
    <col min="14081" max="14081" width="3.7109375" style="51" customWidth="1"/>
    <col min="14082" max="14083" width="10.7109375" style="51" customWidth="1"/>
    <col min="14084" max="14087" width="9.28515625" style="51" customWidth="1"/>
    <col min="14088" max="14088" width="14.5703125" style="51" customWidth="1"/>
    <col min="14089" max="14089" width="17.7109375" style="51" customWidth="1"/>
    <col min="14090" max="14090" width="19.7109375" style="51" customWidth="1"/>
    <col min="14091" max="14336" width="11.5703125" style="51"/>
    <col min="14337" max="14337" width="3.7109375" style="51" customWidth="1"/>
    <col min="14338" max="14339" width="10.7109375" style="51" customWidth="1"/>
    <col min="14340" max="14343" width="9.28515625" style="51" customWidth="1"/>
    <col min="14344" max="14344" width="14.5703125" style="51" customWidth="1"/>
    <col min="14345" max="14345" width="17.7109375" style="51" customWidth="1"/>
    <col min="14346" max="14346" width="19.7109375" style="51" customWidth="1"/>
    <col min="14347" max="14592" width="11.5703125" style="51"/>
    <col min="14593" max="14593" width="3.7109375" style="51" customWidth="1"/>
    <col min="14594" max="14595" width="10.7109375" style="51" customWidth="1"/>
    <col min="14596" max="14599" width="9.28515625" style="51" customWidth="1"/>
    <col min="14600" max="14600" width="14.5703125" style="51" customWidth="1"/>
    <col min="14601" max="14601" width="17.7109375" style="51" customWidth="1"/>
    <col min="14602" max="14602" width="19.7109375" style="51" customWidth="1"/>
    <col min="14603" max="14848" width="11.5703125" style="51"/>
    <col min="14849" max="14849" width="3.7109375" style="51" customWidth="1"/>
    <col min="14850" max="14851" width="10.7109375" style="51" customWidth="1"/>
    <col min="14852" max="14855" width="9.28515625" style="51" customWidth="1"/>
    <col min="14856" max="14856" width="14.5703125" style="51" customWidth="1"/>
    <col min="14857" max="14857" width="17.7109375" style="51" customWidth="1"/>
    <col min="14858" max="14858" width="19.7109375" style="51" customWidth="1"/>
    <col min="14859" max="15104" width="11.5703125" style="51"/>
    <col min="15105" max="15105" width="3.7109375" style="51" customWidth="1"/>
    <col min="15106" max="15107" width="10.7109375" style="51" customWidth="1"/>
    <col min="15108" max="15111" width="9.28515625" style="51" customWidth="1"/>
    <col min="15112" max="15112" width="14.5703125" style="51" customWidth="1"/>
    <col min="15113" max="15113" width="17.7109375" style="51" customWidth="1"/>
    <col min="15114" max="15114" width="19.7109375" style="51" customWidth="1"/>
    <col min="15115" max="15360" width="11.5703125" style="51"/>
    <col min="15361" max="15361" width="3.7109375" style="51" customWidth="1"/>
    <col min="15362" max="15363" width="10.7109375" style="51" customWidth="1"/>
    <col min="15364" max="15367" width="9.28515625" style="51" customWidth="1"/>
    <col min="15368" max="15368" width="14.5703125" style="51" customWidth="1"/>
    <col min="15369" max="15369" width="17.7109375" style="51" customWidth="1"/>
    <col min="15370" max="15370" width="19.7109375" style="51" customWidth="1"/>
    <col min="15371" max="15616" width="11.5703125" style="51"/>
    <col min="15617" max="15617" width="3.7109375" style="51" customWidth="1"/>
    <col min="15618" max="15619" width="10.7109375" style="51" customWidth="1"/>
    <col min="15620" max="15623" width="9.28515625" style="51" customWidth="1"/>
    <col min="15624" max="15624" width="14.5703125" style="51" customWidth="1"/>
    <col min="15625" max="15625" width="17.7109375" style="51" customWidth="1"/>
    <col min="15626" max="15626" width="19.7109375" style="51" customWidth="1"/>
    <col min="15627" max="15872" width="11.5703125" style="51"/>
    <col min="15873" max="15873" width="3.7109375" style="51" customWidth="1"/>
    <col min="15874" max="15875" width="10.7109375" style="51" customWidth="1"/>
    <col min="15876" max="15879" width="9.28515625" style="51" customWidth="1"/>
    <col min="15880" max="15880" width="14.5703125" style="51" customWidth="1"/>
    <col min="15881" max="15881" width="17.7109375" style="51" customWidth="1"/>
    <col min="15882" max="15882" width="19.7109375" style="51" customWidth="1"/>
    <col min="15883" max="16128" width="11.5703125" style="51"/>
    <col min="16129" max="16129" width="3.7109375" style="51" customWidth="1"/>
    <col min="16130" max="16131" width="10.7109375" style="51" customWidth="1"/>
    <col min="16132" max="16135" width="9.28515625" style="51" customWidth="1"/>
    <col min="16136" max="16136" width="14.5703125" style="51" customWidth="1"/>
    <col min="16137" max="16137" width="17.7109375" style="51" customWidth="1"/>
    <col min="16138" max="16138" width="19.7109375" style="51" customWidth="1"/>
    <col min="16139" max="16384" width="11.5703125" style="51"/>
  </cols>
  <sheetData>
    <row r="1" spans="1:256" ht="12.75" customHeight="1" x14ac:dyDescent="0.2">
      <c r="C1" s="199" t="s">
        <v>181</v>
      </c>
      <c r="D1" s="199"/>
      <c r="E1" s="199"/>
      <c r="F1" s="199"/>
      <c r="G1" s="199"/>
      <c r="H1" s="199"/>
      <c r="I1" s="199"/>
    </row>
    <row r="2" spans="1:256" x14ac:dyDescent="0.2">
      <c r="F2" s="51"/>
      <c r="G2" s="51"/>
      <c r="H2" s="51"/>
      <c r="I2" s="51"/>
    </row>
    <row r="3" spans="1:256" x14ac:dyDescent="0.2">
      <c r="F3" s="51"/>
      <c r="G3" s="51"/>
      <c r="H3" s="51"/>
      <c r="I3" s="51"/>
    </row>
    <row r="4" spans="1:256" s="52" customFormat="1" ht="15.75" x14ac:dyDescent="0.25">
      <c r="A4" s="92" t="s">
        <v>230</v>
      </c>
      <c r="B4" s="93"/>
      <c r="C4" s="94"/>
      <c r="G4" s="92" t="s">
        <v>231</v>
      </c>
      <c r="H4"/>
    </row>
    <row r="5" spans="1:256" s="52" customFormat="1" ht="15.75" x14ac:dyDescent="0.25">
      <c r="A5" s="95" t="s">
        <v>232</v>
      </c>
      <c r="B5" s="96"/>
      <c r="C5" s="94"/>
      <c r="G5" s="95" t="s">
        <v>233</v>
      </c>
      <c r="H5"/>
    </row>
    <row r="6" spans="1:256" s="52" customFormat="1" ht="15.75" x14ac:dyDescent="0.25">
      <c r="A6" s="97" t="s">
        <v>4</v>
      </c>
      <c r="B6" s="98"/>
      <c r="C6" s="20"/>
      <c r="G6" s="97" t="s">
        <v>183</v>
      </c>
      <c r="H6" s="99"/>
    </row>
    <row r="7" spans="1:256" s="52" customFormat="1" ht="15.75" x14ac:dyDescent="0.25">
      <c r="A7" s="97" t="s">
        <v>235</v>
      </c>
      <c r="B7" s="98"/>
      <c r="C7" s="100"/>
      <c r="G7" s="97" t="s">
        <v>5</v>
      </c>
      <c r="H7" s="101"/>
    </row>
    <row r="8" spans="1:256" s="52" customFormat="1" ht="15.75" x14ac:dyDescent="0.25">
      <c r="A8"/>
      <c r="B8" s="102"/>
      <c r="C8"/>
      <c r="G8" s="97"/>
      <c r="H8" s="99"/>
    </row>
    <row r="9" spans="1:256" s="52" customFormat="1" ht="15.75" x14ac:dyDescent="0.25">
      <c r="A9" s="97" t="s">
        <v>236</v>
      </c>
      <c r="B9" s="98"/>
      <c r="C9" s="1"/>
      <c r="G9" s="97" t="s">
        <v>237</v>
      </c>
      <c r="H9" s="99"/>
    </row>
    <row r="10" spans="1:256" s="52" customFormat="1" ht="15.75" x14ac:dyDescent="0.25">
      <c r="A10" s="97" t="s">
        <v>269</v>
      </c>
      <c r="B10" s="98"/>
      <c r="C10" s="1"/>
      <c r="G10" s="97" t="s">
        <v>269</v>
      </c>
      <c r="H10" s="98"/>
      <c r="I10" s="54"/>
    </row>
    <row r="11" spans="1:256" s="52" customFormat="1" ht="11.25" customHeight="1" x14ac:dyDescent="0.25">
      <c r="A11" s="2"/>
      <c r="D11" s="53"/>
      <c r="E11" s="54"/>
    </row>
    <row r="12" spans="1:256" ht="15.75" x14ac:dyDescent="0.2">
      <c r="A12" s="200" t="s">
        <v>187</v>
      </c>
      <c r="B12" s="200"/>
      <c r="C12" s="200"/>
      <c r="D12" s="200"/>
      <c r="E12" s="200"/>
      <c r="F12" s="200"/>
      <c r="G12" s="200"/>
      <c r="H12" s="200"/>
      <c r="I12" s="200"/>
    </row>
    <row r="13" spans="1:256" ht="15.75" customHeight="1" x14ac:dyDescent="0.2">
      <c r="A13" s="201" t="s">
        <v>159</v>
      </c>
      <c r="B13" s="202"/>
      <c r="C13" s="202"/>
      <c r="D13" s="202"/>
      <c r="E13" s="202"/>
      <c r="F13" s="202"/>
      <c r="G13" s="202"/>
      <c r="H13" s="202"/>
      <c r="I13" s="202"/>
    </row>
    <row r="14" spans="1:256" x14ac:dyDescent="0.2">
      <c r="A14" s="55"/>
      <c r="B14" s="56"/>
      <c r="C14" s="57"/>
      <c r="D14" s="57"/>
      <c r="E14" s="57"/>
      <c r="F14" s="56"/>
      <c r="G14" s="56"/>
      <c r="H14" s="56"/>
      <c r="I14" s="56"/>
      <c r="J14" s="56"/>
      <c r="K14" s="56"/>
      <c r="L14" s="56"/>
      <c r="M14" s="56"/>
      <c r="N14" s="56"/>
      <c r="O14" s="56"/>
      <c r="P14" s="56"/>
      <c r="Q14" s="56"/>
      <c r="R14" s="56"/>
      <c r="S14" s="56"/>
      <c r="T14" s="56"/>
      <c r="U14" s="56"/>
      <c r="V14" s="56"/>
      <c r="W14" s="56"/>
      <c r="X14" s="56"/>
      <c r="Y14" s="56"/>
      <c r="Z14" s="56"/>
      <c r="AA14" s="56"/>
      <c r="AB14" s="56"/>
      <c r="AC14" s="56"/>
      <c r="AD14" s="56"/>
      <c r="AE14" s="56"/>
      <c r="AF14" s="56"/>
      <c r="AG14" s="56"/>
      <c r="AH14" s="56"/>
      <c r="AI14" s="56"/>
      <c r="AJ14" s="56"/>
      <c r="AK14" s="56"/>
      <c r="AL14" s="56"/>
      <c r="AM14" s="56"/>
      <c r="AN14" s="56"/>
      <c r="AO14" s="56"/>
      <c r="AP14" s="56"/>
      <c r="AQ14" s="56"/>
      <c r="AR14" s="56"/>
      <c r="AS14" s="56"/>
      <c r="AT14" s="56"/>
      <c r="AU14" s="56"/>
      <c r="AV14" s="56"/>
      <c r="AW14" s="56"/>
      <c r="AX14" s="56"/>
      <c r="AY14" s="56"/>
      <c r="AZ14" s="56"/>
      <c r="BA14" s="56"/>
      <c r="BB14" s="56"/>
      <c r="BC14" s="56"/>
      <c r="BD14" s="56"/>
      <c r="BE14" s="56"/>
      <c r="BF14" s="56"/>
      <c r="BG14" s="56"/>
      <c r="BH14" s="56"/>
      <c r="BI14" s="56"/>
      <c r="BJ14" s="56"/>
      <c r="BK14" s="56"/>
      <c r="BL14" s="56"/>
      <c r="BM14" s="56"/>
      <c r="BN14" s="56"/>
      <c r="BO14" s="56"/>
      <c r="BP14" s="56"/>
      <c r="BQ14" s="56"/>
      <c r="BR14" s="56"/>
      <c r="BS14" s="56"/>
      <c r="BT14" s="56"/>
      <c r="BU14" s="56"/>
      <c r="BV14" s="56"/>
      <c r="BW14" s="56"/>
      <c r="BX14" s="56"/>
      <c r="BY14" s="56"/>
      <c r="BZ14" s="56"/>
      <c r="CA14" s="56"/>
      <c r="CB14" s="56"/>
      <c r="CC14" s="56"/>
      <c r="CD14" s="56"/>
      <c r="CE14" s="56"/>
      <c r="CF14" s="56"/>
      <c r="CG14" s="56"/>
      <c r="CH14" s="56"/>
      <c r="CI14" s="56"/>
      <c r="CJ14" s="56"/>
      <c r="CK14" s="56"/>
      <c r="CL14" s="56"/>
      <c r="CM14" s="56"/>
      <c r="CN14" s="56"/>
      <c r="CO14" s="56"/>
      <c r="CP14" s="56"/>
      <c r="CQ14" s="56"/>
      <c r="CR14" s="56"/>
      <c r="CS14" s="56"/>
      <c r="CT14" s="56"/>
      <c r="CU14" s="56"/>
      <c r="CV14" s="56"/>
      <c r="CW14" s="56"/>
      <c r="CX14" s="56"/>
      <c r="CY14" s="56"/>
      <c r="CZ14" s="56"/>
      <c r="DA14" s="56"/>
      <c r="DB14" s="56"/>
      <c r="DC14" s="56"/>
      <c r="DD14" s="56"/>
      <c r="DE14" s="56"/>
      <c r="DF14" s="56"/>
      <c r="DG14" s="56"/>
      <c r="DH14" s="56"/>
      <c r="DI14" s="56"/>
      <c r="DJ14" s="56"/>
      <c r="DK14" s="56"/>
      <c r="DL14" s="56"/>
      <c r="DM14" s="56"/>
      <c r="DN14" s="56"/>
      <c r="DO14" s="56"/>
      <c r="DP14" s="56"/>
      <c r="DQ14" s="56"/>
      <c r="DR14" s="56"/>
      <c r="DS14" s="56"/>
      <c r="DT14" s="56"/>
      <c r="DU14" s="56"/>
      <c r="DV14" s="56"/>
      <c r="DW14" s="56"/>
      <c r="DX14" s="56"/>
      <c r="DY14" s="56"/>
      <c r="DZ14" s="56"/>
      <c r="EA14" s="56"/>
      <c r="EB14" s="56"/>
      <c r="EC14" s="56"/>
      <c r="ED14" s="56"/>
      <c r="EE14" s="56"/>
      <c r="EF14" s="56"/>
      <c r="EG14" s="56"/>
      <c r="EH14" s="56"/>
      <c r="EI14" s="56"/>
      <c r="EJ14" s="56"/>
      <c r="EK14" s="56"/>
      <c r="EL14" s="56"/>
      <c r="EM14" s="56"/>
      <c r="EN14" s="56"/>
      <c r="EO14" s="56"/>
      <c r="EP14" s="56"/>
      <c r="EQ14" s="56"/>
      <c r="ER14" s="56"/>
      <c r="ES14" s="56"/>
      <c r="ET14" s="56"/>
      <c r="EU14" s="56"/>
      <c r="EV14" s="56"/>
      <c r="EW14" s="56"/>
      <c r="EX14" s="56"/>
      <c r="EY14" s="56"/>
      <c r="EZ14" s="56"/>
      <c r="FA14" s="56"/>
      <c r="FB14" s="56"/>
      <c r="FC14" s="56"/>
      <c r="FD14" s="56"/>
      <c r="FE14" s="56"/>
      <c r="FF14" s="56"/>
      <c r="FG14" s="56"/>
      <c r="FH14" s="56"/>
      <c r="FI14" s="56"/>
      <c r="FJ14" s="56"/>
      <c r="FK14" s="56"/>
      <c r="FL14" s="56"/>
      <c r="FM14" s="56"/>
      <c r="FN14" s="56"/>
      <c r="FO14" s="56"/>
      <c r="FP14" s="56"/>
      <c r="FQ14" s="56"/>
      <c r="FR14" s="56"/>
      <c r="FS14" s="56"/>
      <c r="FT14" s="56"/>
      <c r="FU14" s="56"/>
      <c r="FV14" s="56"/>
      <c r="FW14" s="56"/>
      <c r="FX14" s="56"/>
      <c r="FY14" s="56"/>
      <c r="FZ14" s="56"/>
      <c r="GA14" s="56"/>
      <c r="GB14" s="56"/>
      <c r="GC14" s="56"/>
      <c r="GD14" s="56"/>
      <c r="GE14" s="56"/>
      <c r="GF14" s="56"/>
      <c r="GG14" s="56"/>
      <c r="GH14" s="56"/>
      <c r="GI14" s="56"/>
      <c r="GJ14" s="56"/>
      <c r="GK14" s="56"/>
      <c r="GL14" s="56"/>
      <c r="GM14" s="56"/>
      <c r="GN14" s="56"/>
      <c r="GO14" s="56"/>
      <c r="GP14" s="56"/>
      <c r="GQ14" s="56"/>
      <c r="GR14" s="56"/>
      <c r="GS14" s="56"/>
      <c r="GT14" s="56"/>
      <c r="GU14" s="56"/>
      <c r="GV14" s="56"/>
      <c r="GW14" s="56"/>
      <c r="GX14" s="56"/>
      <c r="GY14" s="56"/>
      <c r="GZ14" s="56"/>
      <c r="HA14" s="56"/>
      <c r="HB14" s="56"/>
      <c r="HC14" s="56"/>
      <c r="HD14" s="56"/>
      <c r="HE14" s="56"/>
      <c r="HF14" s="56"/>
      <c r="HG14" s="56"/>
      <c r="HH14" s="56"/>
      <c r="HI14" s="56"/>
      <c r="HJ14" s="56"/>
      <c r="HK14" s="56"/>
      <c r="HL14" s="56"/>
      <c r="HM14" s="56"/>
      <c r="HN14" s="56"/>
      <c r="HO14" s="56"/>
      <c r="HP14" s="56"/>
      <c r="HQ14" s="56"/>
      <c r="HR14" s="56"/>
      <c r="HS14" s="56"/>
      <c r="HT14" s="56"/>
      <c r="HU14" s="56"/>
      <c r="HV14" s="56"/>
      <c r="HW14" s="56"/>
      <c r="HX14" s="56"/>
      <c r="HY14" s="56"/>
      <c r="HZ14" s="56"/>
      <c r="IA14" s="56"/>
      <c r="IB14" s="56"/>
      <c r="IC14" s="56"/>
      <c r="ID14" s="56"/>
      <c r="IE14" s="56"/>
      <c r="IF14" s="56"/>
      <c r="IG14" s="56"/>
      <c r="IH14" s="56"/>
      <c r="II14" s="56"/>
      <c r="IJ14" s="56"/>
      <c r="IK14" s="56"/>
      <c r="IL14" s="56"/>
      <c r="IM14" s="56"/>
      <c r="IN14" s="56"/>
      <c r="IO14" s="56"/>
      <c r="IP14" s="56"/>
      <c r="IQ14" s="56"/>
      <c r="IR14" s="56"/>
      <c r="IS14" s="56"/>
      <c r="IT14" s="56"/>
      <c r="IU14" s="56"/>
      <c r="IV14" s="56"/>
    </row>
    <row r="15" spans="1:256" ht="33" customHeight="1" x14ac:dyDescent="0.25">
      <c r="A15" s="203" t="s">
        <v>271</v>
      </c>
      <c r="B15" s="203"/>
      <c r="C15" s="203"/>
      <c r="D15" s="203"/>
      <c r="E15" s="203"/>
      <c r="F15" s="203"/>
      <c r="G15" s="203"/>
      <c r="H15" s="203"/>
      <c r="I15" s="203"/>
      <c r="J15" s="58"/>
      <c r="K15" s="56"/>
      <c r="L15" s="56"/>
      <c r="M15" s="56"/>
      <c r="N15" s="56"/>
      <c r="O15" s="56"/>
      <c r="P15" s="56"/>
      <c r="Q15" s="56"/>
      <c r="R15" s="56"/>
      <c r="S15" s="56"/>
      <c r="T15" s="56"/>
      <c r="U15" s="56"/>
      <c r="V15" s="56"/>
      <c r="W15" s="56"/>
      <c r="X15" s="56"/>
      <c r="Y15" s="56"/>
      <c r="Z15" s="56"/>
      <c r="AA15" s="56"/>
      <c r="AB15" s="56"/>
      <c r="AC15" s="56"/>
      <c r="AD15" s="56"/>
      <c r="AE15" s="56"/>
      <c r="AF15" s="56"/>
      <c r="AG15" s="56"/>
      <c r="AH15" s="56"/>
      <c r="AI15" s="56"/>
      <c r="AJ15" s="56"/>
      <c r="AK15" s="56"/>
      <c r="AL15" s="56"/>
      <c r="AM15" s="56"/>
      <c r="AN15" s="56"/>
      <c r="AO15" s="56"/>
      <c r="AP15" s="56"/>
      <c r="AQ15" s="56"/>
      <c r="AR15" s="56"/>
      <c r="AS15" s="56"/>
      <c r="AT15" s="56"/>
      <c r="AU15" s="56"/>
      <c r="AV15" s="56"/>
      <c r="AW15" s="56"/>
      <c r="AX15" s="56"/>
      <c r="AY15" s="56"/>
      <c r="AZ15" s="56"/>
      <c r="BA15" s="56"/>
      <c r="BB15" s="56"/>
      <c r="BC15" s="56"/>
      <c r="BD15" s="56"/>
      <c r="BE15" s="56"/>
      <c r="BF15" s="56"/>
      <c r="BG15" s="56"/>
      <c r="BH15" s="56"/>
      <c r="BI15" s="56"/>
      <c r="BJ15" s="56"/>
      <c r="BK15" s="56"/>
      <c r="BL15" s="56"/>
      <c r="BM15" s="56"/>
      <c r="BN15" s="56"/>
      <c r="BO15" s="56"/>
      <c r="BP15" s="56"/>
      <c r="BQ15" s="56"/>
      <c r="BR15" s="56"/>
      <c r="BS15" s="56"/>
      <c r="BT15" s="56"/>
      <c r="BU15" s="56"/>
      <c r="BV15" s="56"/>
      <c r="BW15" s="56"/>
      <c r="BX15" s="56"/>
      <c r="BY15" s="56"/>
      <c r="BZ15" s="56"/>
      <c r="CA15" s="56"/>
      <c r="CB15" s="56"/>
      <c r="CC15" s="56"/>
      <c r="CD15" s="56"/>
      <c r="CE15" s="56"/>
      <c r="CF15" s="56"/>
      <c r="CG15" s="56"/>
      <c r="CH15" s="56"/>
      <c r="CI15" s="56"/>
      <c r="CJ15" s="56"/>
      <c r="CK15" s="56"/>
      <c r="CL15" s="56"/>
      <c r="CM15" s="56"/>
      <c r="CN15" s="56"/>
      <c r="CO15" s="56"/>
      <c r="CP15" s="56"/>
      <c r="CQ15" s="56"/>
      <c r="CR15" s="56"/>
      <c r="CS15" s="56"/>
      <c r="CT15" s="56"/>
      <c r="CU15" s="56"/>
      <c r="CV15" s="56"/>
      <c r="CW15" s="56"/>
      <c r="CX15" s="56"/>
      <c r="CY15" s="56"/>
      <c r="CZ15" s="56"/>
      <c r="DA15" s="56"/>
      <c r="DB15" s="56"/>
      <c r="DC15" s="56"/>
      <c r="DD15" s="56"/>
      <c r="DE15" s="56"/>
      <c r="DF15" s="56"/>
      <c r="DG15" s="56"/>
      <c r="DH15" s="56"/>
      <c r="DI15" s="56"/>
      <c r="DJ15" s="56"/>
      <c r="DK15" s="56"/>
      <c r="DL15" s="56"/>
      <c r="DM15" s="56"/>
      <c r="DN15" s="56"/>
      <c r="DO15" s="56"/>
      <c r="DP15" s="56"/>
      <c r="DQ15" s="56"/>
      <c r="DR15" s="56"/>
      <c r="DS15" s="56"/>
      <c r="DT15" s="56"/>
      <c r="DU15" s="56"/>
      <c r="DV15" s="56"/>
      <c r="DW15" s="56"/>
      <c r="DX15" s="56"/>
      <c r="DY15" s="56"/>
      <c r="DZ15" s="56"/>
      <c r="EA15" s="56"/>
      <c r="EB15" s="56"/>
      <c r="EC15" s="56"/>
      <c r="ED15" s="56"/>
      <c r="EE15" s="56"/>
      <c r="EF15" s="56"/>
      <c r="EG15" s="56"/>
      <c r="EH15" s="56"/>
      <c r="EI15" s="56"/>
      <c r="EJ15" s="56"/>
      <c r="EK15" s="56"/>
      <c r="EL15" s="56"/>
      <c r="EM15" s="56"/>
      <c r="EN15" s="56"/>
      <c r="EO15" s="56"/>
      <c r="EP15" s="56"/>
      <c r="EQ15" s="56"/>
      <c r="ER15" s="56"/>
      <c r="ES15" s="56"/>
      <c r="ET15" s="56"/>
      <c r="EU15" s="56"/>
      <c r="EV15" s="56"/>
      <c r="EW15" s="56"/>
      <c r="EX15" s="56"/>
      <c r="EY15" s="56"/>
      <c r="EZ15" s="56"/>
      <c r="FA15" s="56"/>
      <c r="FB15" s="56"/>
      <c r="FC15" s="56"/>
      <c r="FD15" s="56"/>
      <c r="FE15" s="56"/>
      <c r="FF15" s="56"/>
      <c r="FG15" s="56"/>
      <c r="FH15" s="56"/>
      <c r="FI15" s="56"/>
      <c r="FJ15" s="56"/>
      <c r="FK15" s="56"/>
      <c r="FL15" s="56"/>
      <c r="FM15" s="56"/>
      <c r="FN15" s="56"/>
      <c r="FO15" s="56"/>
      <c r="FP15" s="56"/>
      <c r="FQ15" s="56"/>
      <c r="FR15" s="56"/>
      <c r="FS15" s="56"/>
      <c r="FT15" s="56"/>
      <c r="FU15" s="56"/>
      <c r="FV15" s="56"/>
      <c r="FW15" s="56"/>
      <c r="FX15" s="56"/>
      <c r="FY15" s="56"/>
      <c r="FZ15" s="56"/>
      <c r="GA15" s="56"/>
      <c r="GB15" s="56"/>
      <c r="GC15" s="56"/>
      <c r="GD15" s="56"/>
      <c r="GE15" s="56"/>
      <c r="GF15" s="56"/>
      <c r="GG15" s="56"/>
      <c r="GH15" s="56"/>
      <c r="GI15" s="56"/>
      <c r="GJ15" s="56"/>
      <c r="GK15" s="56"/>
      <c r="GL15" s="56"/>
      <c r="GM15" s="56"/>
      <c r="GN15" s="56"/>
      <c r="GO15" s="56"/>
      <c r="GP15" s="56"/>
      <c r="GQ15" s="56"/>
      <c r="GR15" s="56"/>
      <c r="GS15" s="56"/>
      <c r="GT15" s="56"/>
      <c r="GU15" s="56"/>
      <c r="GV15" s="56"/>
      <c r="GW15" s="56"/>
      <c r="GX15" s="56"/>
      <c r="GY15" s="56"/>
      <c r="GZ15" s="56"/>
      <c r="HA15" s="56"/>
      <c r="HB15" s="56"/>
      <c r="HC15" s="56"/>
      <c r="HD15" s="56"/>
      <c r="HE15" s="56"/>
      <c r="HF15" s="56"/>
      <c r="HG15" s="56"/>
      <c r="HH15" s="56"/>
      <c r="HI15" s="56"/>
      <c r="HJ15" s="56"/>
      <c r="HK15" s="56"/>
      <c r="HL15" s="56"/>
      <c r="HM15" s="56"/>
      <c r="HN15" s="56"/>
      <c r="HO15" s="56"/>
      <c r="HP15" s="56"/>
      <c r="HQ15" s="56"/>
      <c r="HR15" s="56"/>
      <c r="HS15" s="56"/>
      <c r="HT15" s="56"/>
      <c r="HU15" s="56"/>
      <c r="HV15" s="56"/>
      <c r="HW15" s="56"/>
      <c r="HX15" s="56"/>
      <c r="HY15" s="56"/>
      <c r="HZ15" s="56"/>
      <c r="IA15" s="56"/>
      <c r="IB15" s="56"/>
      <c r="IC15" s="56"/>
      <c r="ID15" s="56"/>
      <c r="IE15" s="56"/>
      <c r="IF15" s="56"/>
      <c r="IG15" s="56"/>
      <c r="IH15" s="56"/>
      <c r="II15" s="56"/>
      <c r="IJ15" s="56"/>
      <c r="IK15" s="56"/>
      <c r="IL15" s="56"/>
      <c r="IM15" s="56"/>
      <c r="IN15" s="56"/>
      <c r="IO15" s="56"/>
      <c r="IP15" s="56"/>
      <c r="IQ15" s="56"/>
      <c r="IR15" s="56"/>
      <c r="IS15" s="56"/>
      <c r="IT15" s="56"/>
      <c r="IU15" s="56"/>
      <c r="IV15" s="56"/>
    </row>
    <row r="16" spans="1:256" ht="9.75" customHeight="1" x14ac:dyDescent="0.25">
      <c r="A16" s="59"/>
      <c r="B16" s="59"/>
      <c r="C16" s="59"/>
      <c r="D16" s="59"/>
      <c r="E16" s="59"/>
      <c r="F16" s="59"/>
      <c r="G16" s="59"/>
      <c r="H16" s="59"/>
      <c r="I16" s="59"/>
      <c r="J16" s="58"/>
      <c r="K16" s="56"/>
      <c r="L16" s="56"/>
      <c r="M16" s="56"/>
      <c r="N16" s="56"/>
      <c r="O16" s="56"/>
      <c r="P16" s="56"/>
      <c r="Q16" s="56"/>
      <c r="R16" s="56"/>
      <c r="S16" s="56"/>
      <c r="T16" s="56"/>
      <c r="U16" s="56"/>
      <c r="V16" s="56"/>
      <c r="W16" s="56"/>
      <c r="X16" s="56"/>
      <c r="Y16" s="56"/>
      <c r="Z16" s="56"/>
      <c r="AA16" s="56"/>
      <c r="AB16" s="56"/>
      <c r="AC16" s="56"/>
      <c r="AD16" s="56"/>
      <c r="AE16" s="56"/>
      <c r="AF16" s="56"/>
      <c r="AG16" s="56"/>
      <c r="AH16" s="56"/>
      <c r="AI16" s="56"/>
      <c r="AJ16" s="56"/>
      <c r="AK16" s="56"/>
      <c r="AL16" s="56"/>
      <c r="AM16" s="56"/>
      <c r="AN16" s="56"/>
      <c r="AO16" s="56"/>
      <c r="AP16" s="56"/>
      <c r="AQ16" s="56"/>
      <c r="AR16" s="56"/>
      <c r="AS16" s="56"/>
      <c r="AT16" s="56"/>
      <c r="AU16" s="56"/>
      <c r="AV16" s="56"/>
      <c r="AW16" s="56"/>
      <c r="AX16" s="56"/>
      <c r="AY16" s="56"/>
      <c r="AZ16" s="56"/>
      <c r="BA16" s="56"/>
      <c r="BB16" s="56"/>
      <c r="BC16" s="56"/>
      <c r="BD16" s="56"/>
      <c r="BE16" s="56"/>
      <c r="BF16" s="56"/>
      <c r="BG16" s="56"/>
      <c r="BH16" s="56"/>
      <c r="BI16" s="56"/>
      <c r="BJ16" s="56"/>
      <c r="BK16" s="56"/>
      <c r="BL16" s="56"/>
      <c r="BM16" s="56"/>
      <c r="BN16" s="56"/>
      <c r="BO16" s="56"/>
      <c r="BP16" s="56"/>
      <c r="BQ16" s="56"/>
      <c r="BR16" s="56"/>
      <c r="BS16" s="56"/>
      <c r="BT16" s="56"/>
      <c r="BU16" s="56"/>
      <c r="BV16" s="56"/>
      <c r="BW16" s="56"/>
      <c r="BX16" s="56"/>
      <c r="BY16" s="56"/>
      <c r="BZ16" s="56"/>
      <c r="CA16" s="56"/>
      <c r="CB16" s="56"/>
      <c r="CC16" s="56"/>
      <c r="CD16" s="56"/>
      <c r="CE16" s="56"/>
      <c r="CF16" s="56"/>
      <c r="CG16" s="56"/>
      <c r="CH16" s="56"/>
      <c r="CI16" s="56"/>
      <c r="CJ16" s="56"/>
      <c r="CK16" s="56"/>
      <c r="CL16" s="56"/>
      <c r="CM16" s="56"/>
      <c r="CN16" s="56"/>
      <c r="CO16" s="56"/>
      <c r="CP16" s="56"/>
      <c r="CQ16" s="56"/>
      <c r="CR16" s="56"/>
      <c r="CS16" s="56"/>
      <c r="CT16" s="56"/>
      <c r="CU16" s="56"/>
      <c r="CV16" s="56"/>
      <c r="CW16" s="56"/>
      <c r="CX16" s="56"/>
      <c r="CY16" s="56"/>
      <c r="CZ16" s="56"/>
      <c r="DA16" s="56"/>
      <c r="DB16" s="56"/>
      <c r="DC16" s="56"/>
      <c r="DD16" s="56"/>
      <c r="DE16" s="56"/>
      <c r="DF16" s="56"/>
      <c r="DG16" s="56"/>
      <c r="DH16" s="56"/>
      <c r="DI16" s="56"/>
      <c r="DJ16" s="56"/>
      <c r="DK16" s="56"/>
      <c r="DL16" s="56"/>
      <c r="DM16" s="56"/>
      <c r="DN16" s="56"/>
      <c r="DO16" s="56"/>
      <c r="DP16" s="56"/>
      <c r="DQ16" s="56"/>
      <c r="DR16" s="56"/>
      <c r="DS16" s="56"/>
      <c r="DT16" s="56"/>
      <c r="DU16" s="56"/>
      <c r="DV16" s="56"/>
      <c r="DW16" s="56"/>
      <c r="DX16" s="56"/>
      <c r="DY16" s="56"/>
      <c r="DZ16" s="56"/>
      <c r="EA16" s="56"/>
      <c r="EB16" s="56"/>
      <c r="EC16" s="56"/>
      <c r="ED16" s="56"/>
      <c r="EE16" s="56"/>
      <c r="EF16" s="56"/>
      <c r="EG16" s="56"/>
      <c r="EH16" s="56"/>
      <c r="EI16" s="56"/>
      <c r="EJ16" s="56"/>
      <c r="EK16" s="56"/>
      <c r="EL16" s="56"/>
      <c r="EM16" s="56"/>
      <c r="EN16" s="56"/>
      <c r="EO16" s="56"/>
      <c r="EP16" s="56"/>
      <c r="EQ16" s="56"/>
      <c r="ER16" s="56"/>
      <c r="ES16" s="56"/>
      <c r="ET16" s="56"/>
      <c r="EU16" s="56"/>
      <c r="EV16" s="56"/>
      <c r="EW16" s="56"/>
      <c r="EX16" s="56"/>
      <c r="EY16" s="56"/>
      <c r="EZ16" s="56"/>
      <c r="FA16" s="56"/>
      <c r="FB16" s="56"/>
      <c r="FC16" s="56"/>
      <c r="FD16" s="56"/>
      <c r="FE16" s="56"/>
      <c r="FF16" s="56"/>
      <c r="FG16" s="56"/>
      <c r="FH16" s="56"/>
      <c r="FI16" s="56"/>
      <c r="FJ16" s="56"/>
      <c r="FK16" s="56"/>
      <c r="FL16" s="56"/>
      <c r="FM16" s="56"/>
      <c r="FN16" s="56"/>
      <c r="FO16" s="56"/>
      <c r="FP16" s="56"/>
      <c r="FQ16" s="56"/>
      <c r="FR16" s="56"/>
      <c r="FS16" s="56"/>
      <c r="FT16" s="56"/>
      <c r="FU16" s="56"/>
      <c r="FV16" s="56"/>
      <c r="FW16" s="56"/>
      <c r="FX16" s="56"/>
      <c r="FY16" s="56"/>
      <c r="FZ16" s="56"/>
      <c r="GA16" s="56"/>
      <c r="GB16" s="56"/>
      <c r="GC16" s="56"/>
      <c r="GD16" s="56"/>
      <c r="GE16" s="56"/>
      <c r="GF16" s="56"/>
      <c r="GG16" s="56"/>
      <c r="GH16" s="56"/>
      <c r="GI16" s="56"/>
      <c r="GJ16" s="56"/>
      <c r="GK16" s="56"/>
      <c r="GL16" s="56"/>
      <c r="GM16" s="56"/>
      <c r="GN16" s="56"/>
      <c r="GO16" s="56"/>
      <c r="GP16" s="56"/>
      <c r="GQ16" s="56"/>
      <c r="GR16" s="56"/>
      <c r="GS16" s="56"/>
      <c r="GT16" s="56"/>
      <c r="GU16" s="56"/>
      <c r="GV16" s="56"/>
      <c r="GW16" s="56"/>
      <c r="GX16" s="56"/>
      <c r="GY16" s="56"/>
      <c r="GZ16" s="56"/>
      <c r="HA16" s="56"/>
      <c r="HB16" s="56"/>
      <c r="HC16" s="56"/>
      <c r="HD16" s="56"/>
      <c r="HE16" s="56"/>
      <c r="HF16" s="56"/>
      <c r="HG16" s="56"/>
      <c r="HH16" s="56"/>
      <c r="HI16" s="56"/>
      <c r="HJ16" s="56"/>
      <c r="HK16" s="56"/>
      <c r="HL16" s="56"/>
      <c r="HM16" s="56"/>
      <c r="HN16" s="56"/>
      <c r="HO16" s="56"/>
      <c r="HP16" s="56"/>
      <c r="HQ16" s="56"/>
      <c r="HR16" s="56"/>
      <c r="HS16" s="56"/>
      <c r="HT16" s="56"/>
      <c r="HU16" s="56"/>
      <c r="HV16" s="56"/>
      <c r="HW16" s="56"/>
      <c r="HX16" s="56"/>
      <c r="HY16" s="56"/>
      <c r="HZ16" s="56"/>
      <c r="IA16" s="56"/>
      <c r="IB16" s="56"/>
      <c r="IC16" s="56"/>
      <c r="ID16" s="56"/>
      <c r="IE16" s="56"/>
      <c r="IF16" s="56"/>
      <c r="IG16" s="56"/>
      <c r="IH16" s="56"/>
      <c r="II16" s="56"/>
      <c r="IJ16" s="56"/>
      <c r="IK16" s="56"/>
      <c r="IL16" s="56"/>
      <c r="IM16" s="56"/>
      <c r="IN16" s="56"/>
      <c r="IO16" s="56"/>
      <c r="IP16" s="56"/>
      <c r="IQ16" s="56"/>
      <c r="IR16" s="56"/>
      <c r="IS16" s="56"/>
      <c r="IT16" s="56"/>
      <c r="IU16" s="56"/>
      <c r="IV16" s="56"/>
    </row>
    <row r="17" spans="1:9" ht="97.5" customHeight="1" x14ac:dyDescent="0.2">
      <c r="A17" s="60" t="s">
        <v>188</v>
      </c>
      <c r="B17" s="204" t="s">
        <v>189</v>
      </c>
      <c r="C17" s="205"/>
      <c r="D17" s="204" t="s">
        <v>88</v>
      </c>
      <c r="E17" s="206"/>
      <c r="F17" s="206"/>
      <c r="G17" s="205"/>
      <c r="H17" s="61" t="s">
        <v>87</v>
      </c>
      <c r="I17" s="114" t="s">
        <v>190</v>
      </c>
    </row>
    <row r="18" spans="1:9" ht="12.75" customHeight="1" x14ac:dyDescent="0.2">
      <c r="A18" s="88" t="s">
        <v>191</v>
      </c>
      <c r="B18" s="207">
        <v>2</v>
      </c>
      <c r="C18" s="208"/>
      <c r="D18" s="207">
        <v>3</v>
      </c>
      <c r="E18" s="209"/>
      <c r="F18" s="209"/>
      <c r="G18" s="208"/>
      <c r="H18" s="113">
        <v>4</v>
      </c>
      <c r="I18" s="115">
        <v>5</v>
      </c>
    </row>
    <row r="19" spans="1:9" ht="94.5" customHeight="1" x14ac:dyDescent="0.2">
      <c r="A19" s="89" t="s">
        <v>191</v>
      </c>
      <c r="B19" s="233" t="s">
        <v>272</v>
      </c>
      <c r="C19" s="233"/>
      <c r="D19" s="234" t="s">
        <v>273</v>
      </c>
      <c r="E19" s="234"/>
      <c r="F19" s="234"/>
      <c r="G19" s="234"/>
      <c r="H19" s="111" t="s">
        <v>275</v>
      </c>
      <c r="I19" s="112">
        <f>1487.55*2.4*1.2*0.805*3.83</f>
        <v>13208.658573599998</v>
      </c>
    </row>
    <row r="20" spans="1:9" ht="115.5" customHeight="1" x14ac:dyDescent="0.2">
      <c r="A20" s="75" t="s">
        <v>200</v>
      </c>
      <c r="B20" s="235" t="s">
        <v>220</v>
      </c>
      <c r="C20" s="236"/>
      <c r="D20" s="245" t="s">
        <v>221</v>
      </c>
      <c r="E20" s="246"/>
      <c r="F20" s="246"/>
      <c r="G20" s="247"/>
      <c r="H20" s="64" t="s">
        <v>224</v>
      </c>
      <c r="I20" s="65">
        <f>(11960*1*0.4*3.83*1.4*(1+0.1)*0.555)</f>
        <v>15660.428784000003</v>
      </c>
    </row>
    <row r="21" spans="1:9" ht="14.25" customHeight="1" x14ac:dyDescent="0.2">
      <c r="A21" s="75"/>
      <c r="B21" s="215" t="s">
        <v>63</v>
      </c>
      <c r="C21" s="216"/>
      <c r="D21" s="248"/>
      <c r="E21" s="249"/>
      <c r="F21" s="249"/>
      <c r="G21" s="250"/>
      <c r="H21" s="76"/>
      <c r="I21" s="87"/>
    </row>
    <row r="22" spans="1:9" ht="26.25" customHeight="1" x14ac:dyDescent="0.2">
      <c r="A22" s="75"/>
      <c r="B22" s="230" t="s">
        <v>194</v>
      </c>
      <c r="C22" s="231"/>
      <c r="D22" s="230" t="s">
        <v>222</v>
      </c>
      <c r="E22" s="232"/>
      <c r="F22" s="232"/>
      <c r="G22" s="231"/>
      <c r="H22" s="76"/>
      <c r="I22" s="87"/>
    </row>
    <row r="23" spans="1:9" ht="38.25" customHeight="1" x14ac:dyDescent="0.2">
      <c r="A23" s="75"/>
      <c r="B23" s="240"/>
      <c r="C23" s="241"/>
      <c r="D23" s="230" t="s">
        <v>196</v>
      </c>
      <c r="E23" s="232"/>
      <c r="F23" s="232"/>
      <c r="G23" s="231"/>
      <c r="H23" s="76"/>
      <c r="I23" s="87"/>
    </row>
    <row r="24" spans="1:9" ht="27.75" customHeight="1" x14ac:dyDescent="0.2">
      <c r="A24" s="75"/>
      <c r="B24" s="240"/>
      <c r="C24" s="241"/>
      <c r="D24" s="230" t="s">
        <v>197</v>
      </c>
      <c r="E24" s="232"/>
      <c r="F24" s="232"/>
      <c r="G24" s="231"/>
      <c r="H24" s="76"/>
      <c r="I24" s="87"/>
    </row>
    <row r="25" spans="1:9" ht="25.5" customHeight="1" x14ac:dyDescent="0.2">
      <c r="A25" s="75"/>
      <c r="B25" s="240"/>
      <c r="C25" s="241"/>
      <c r="D25" s="218" t="s">
        <v>198</v>
      </c>
      <c r="E25" s="220"/>
      <c r="F25" s="220"/>
      <c r="G25" s="219"/>
      <c r="H25" s="76"/>
      <c r="I25" s="87"/>
    </row>
    <row r="26" spans="1:9" ht="54.75" customHeight="1" x14ac:dyDescent="0.2">
      <c r="A26" s="75"/>
      <c r="B26" s="221" t="s">
        <v>69</v>
      </c>
      <c r="C26" s="222"/>
      <c r="D26" s="221"/>
      <c r="E26" s="223"/>
      <c r="F26" s="223"/>
      <c r="G26" s="222"/>
      <c r="H26" s="73" t="s">
        <v>223</v>
      </c>
      <c r="I26" s="87"/>
    </row>
    <row r="27" spans="1:9" ht="106.5" customHeight="1" x14ac:dyDescent="0.2">
      <c r="A27" s="75" t="s">
        <v>201</v>
      </c>
      <c r="B27" s="235" t="s">
        <v>71</v>
      </c>
      <c r="C27" s="236"/>
      <c r="D27" s="237" t="s">
        <v>72</v>
      </c>
      <c r="E27" s="238"/>
      <c r="F27" s="238"/>
      <c r="G27" s="239"/>
      <c r="H27" s="76" t="s">
        <v>225</v>
      </c>
      <c r="I27" s="77">
        <f>(0+800*1)*1*0.5*3.83</f>
        <v>1532</v>
      </c>
    </row>
    <row r="28" spans="1:9" ht="15.75" customHeight="1" x14ac:dyDescent="0.2">
      <c r="A28" s="66" t="s">
        <v>193</v>
      </c>
      <c r="B28" s="215" t="s">
        <v>63</v>
      </c>
      <c r="C28" s="216"/>
      <c r="D28" s="215"/>
      <c r="E28" s="217"/>
      <c r="F28" s="217"/>
      <c r="G28" s="216"/>
      <c r="H28" s="67"/>
      <c r="I28" s="68"/>
    </row>
    <row r="29" spans="1:9" ht="12.75" customHeight="1" x14ac:dyDescent="0.2">
      <c r="A29" s="69" t="s">
        <v>193</v>
      </c>
      <c r="B29" s="230" t="s">
        <v>64</v>
      </c>
      <c r="C29" s="231"/>
      <c r="D29" s="230" t="s">
        <v>74</v>
      </c>
      <c r="E29" s="232"/>
      <c r="F29" s="232"/>
      <c r="G29" s="231"/>
      <c r="H29" s="70"/>
      <c r="I29" s="71"/>
    </row>
    <row r="30" spans="1:9" ht="38.25" customHeight="1" x14ac:dyDescent="0.2">
      <c r="A30" s="69" t="s">
        <v>193</v>
      </c>
      <c r="B30" s="230"/>
      <c r="C30" s="231"/>
      <c r="D30" s="230" t="s">
        <v>196</v>
      </c>
      <c r="E30" s="232"/>
      <c r="F30" s="232"/>
      <c r="G30" s="231"/>
      <c r="H30" s="70"/>
      <c r="I30" s="71"/>
    </row>
    <row r="31" spans="1:9" ht="22.5" customHeight="1" x14ac:dyDescent="0.2">
      <c r="A31" s="72" t="s">
        <v>193</v>
      </c>
      <c r="B31" s="242" t="s">
        <v>69</v>
      </c>
      <c r="C31" s="243"/>
      <c r="D31" s="242"/>
      <c r="E31" s="244"/>
      <c r="F31" s="244"/>
      <c r="G31" s="243"/>
      <c r="H31" s="73" t="s">
        <v>75</v>
      </c>
      <c r="I31" s="74"/>
    </row>
    <row r="32" spans="1:9" ht="12.75" customHeight="1" x14ac:dyDescent="0.2">
      <c r="A32" s="72" t="s">
        <v>202</v>
      </c>
      <c r="B32" s="224" t="s">
        <v>76</v>
      </c>
      <c r="C32" s="225"/>
      <c r="D32" s="224"/>
      <c r="E32" s="226"/>
      <c r="F32" s="226"/>
      <c r="G32" s="225"/>
      <c r="H32" s="78"/>
      <c r="I32" s="79">
        <f>I19+I27+I20</f>
        <v>30401.087357600001</v>
      </c>
    </row>
    <row r="33" spans="1:256" ht="12.75" customHeight="1" x14ac:dyDescent="0.2">
      <c r="A33" s="80" t="s">
        <v>203</v>
      </c>
      <c r="B33" s="227" t="s">
        <v>77</v>
      </c>
      <c r="C33" s="228"/>
      <c r="D33" s="227"/>
      <c r="E33" s="229"/>
      <c r="F33" s="229"/>
      <c r="G33" s="228"/>
      <c r="H33" s="81" t="s">
        <v>217</v>
      </c>
      <c r="I33" s="82">
        <f>I32*0.1</f>
        <v>3040.1087357600004</v>
      </c>
    </row>
    <row r="34" spans="1:256" ht="39.75" customHeight="1" x14ac:dyDescent="0.2">
      <c r="A34" s="80" t="s">
        <v>204</v>
      </c>
      <c r="B34" s="227" t="s">
        <v>23</v>
      </c>
      <c r="C34" s="228"/>
      <c r="D34" s="227"/>
      <c r="E34" s="229"/>
      <c r="F34" s="229"/>
      <c r="G34" s="228"/>
      <c r="H34" s="81" t="s">
        <v>79</v>
      </c>
      <c r="I34" s="82">
        <v>20066.12</v>
      </c>
    </row>
    <row r="35" spans="1:256" ht="25.5" customHeight="1" x14ac:dyDescent="0.2">
      <c r="A35" s="80" t="s">
        <v>205</v>
      </c>
      <c r="B35" s="227" t="s">
        <v>80</v>
      </c>
      <c r="C35" s="228"/>
      <c r="D35" s="227"/>
      <c r="E35" s="229"/>
      <c r="F35" s="229"/>
      <c r="G35" s="228"/>
      <c r="H35" s="81" t="s">
        <v>79</v>
      </c>
      <c r="I35" s="82">
        <v>4237.28</v>
      </c>
    </row>
    <row r="36" spans="1:256" ht="12.75" customHeight="1" x14ac:dyDescent="0.2">
      <c r="A36" s="80" t="s">
        <v>206</v>
      </c>
      <c r="B36" s="227" t="s">
        <v>81</v>
      </c>
      <c r="C36" s="228"/>
      <c r="D36" s="227"/>
      <c r="E36" s="229"/>
      <c r="F36" s="229"/>
      <c r="G36" s="228"/>
      <c r="H36" s="81" t="s">
        <v>227</v>
      </c>
      <c r="I36" s="82">
        <f>I32+I33+I34+I35</f>
        <v>57744.59609336</v>
      </c>
    </row>
    <row r="37" spans="1:256" ht="12.75" customHeight="1" x14ac:dyDescent="0.2">
      <c r="A37" s="80" t="s">
        <v>208</v>
      </c>
      <c r="B37" s="227" t="s">
        <v>207</v>
      </c>
      <c r="C37" s="228"/>
      <c r="D37" s="227"/>
      <c r="E37" s="229"/>
      <c r="F37" s="229"/>
      <c r="G37" s="228"/>
      <c r="H37" s="81" t="s">
        <v>274</v>
      </c>
      <c r="I37" s="82">
        <f>ROUND(I36*20%,2)</f>
        <v>11548.92</v>
      </c>
    </row>
    <row r="38" spans="1:256" ht="12.75" customHeight="1" x14ac:dyDescent="0.2">
      <c r="A38" s="80" t="s">
        <v>226</v>
      </c>
      <c r="B38" s="224" t="s">
        <v>85</v>
      </c>
      <c r="C38" s="225"/>
      <c r="D38" s="224"/>
      <c r="E38" s="226"/>
      <c r="F38" s="226"/>
      <c r="G38" s="225"/>
      <c r="H38" s="83" t="s">
        <v>228</v>
      </c>
      <c r="I38" s="84">
        <f>I36+I37</f>
        <v>69293.516093359998</v>
      </c>
    </row>
    <row r="40" spans="1:256" ht="12.75" customHeight="1" x14ac:dyDescent="0.25">
      <c r="A40" s="52" t="s">
        <v>209</v>
      </c>
      <c r="B40" s="52"/>
      <c r="C40" s="52"/>
      <c r="D40" s="52"/>
      <c r="E40" s="52"/>
      <c r="F40" s="52"/>
      <c r="G40" s="52"/>
      <c r="H40" s="52"/>
      <c r="I40" s="52"/>
      <c r="J40" s="52"/>
      <c r="K40" s="52"/>
      <c r="L40" s="52"/>
      <c r="M40" s="52"/>
      <c r="N40" s="52"/>
      <c r="O40" s="52"/>
      <c r="P40" s="52"/>
      <c r="Q40" s="52"/>
      <c r="R40" s="52"/>
      <c r="S40" s="52"/>
      <c r="T40" s="52"/>
      <c r="U40" s="52"/>
      <c r="V40" s="52"/>
      <c r="W40" s="52"/>
      <c r="X40" s="52"/>
      <c r="Y40" s="52"/>
      <c r="Z40" s="52"/>
      <c r="AA40" s="52"/>
      <c r="AB40" s="52"/>
      <c r="AC40" s="52"/>
      <c r="AD40" s="52"/>
      <c r="AE40" s="52"/>
      <c r="AF40" s="52"/>
      <c r="AG40" s="52"/>
      <c r="AH40" s="52"/>
      <c r="AI40" s="52"/>
      <c r="AJ40" s="52"/>
      <c r="AK40" s="52"/>
      <c r="AL40" s="52"/>
      <c r="AM40" s="52"/>
      <c r="AN40" s="52"/>
      <c r="AO40" s="52"/>
      <c r="AP40" s="52"/>
      <c r="AQ40" s="52"/>
      <c r="AR40" s="52"/>
      <c r="AS40" s="52"/>
      <c r="AT40" s="52"/>
      <c r="AU40" s="52"/>
      <c r="AV40" s="52"/>
      <c r="AW40" s="52"/>
      <c r="AX40" s="52"/>
      <c r="AY40" s="52"/>
      <c r="AZ40" s="52"/>
      <c r="BA40" s="52"/>
      <c r="BB40" s="52"/>
      <c r="BC40" s="52"/>
      <c r="BD40" s="52"/>
      <c r="BE40" s="52"/>
      <c r="BF40" s="52"/>
      <c r="BG40" s="52"/>
      <c r="BH40" s="52"/>
      <c r="BI40" s="52"/>
      <c r="BJ40" s="52"/>
      <c r="BK40" s="52"/>
      <c r="BL40" s="52"/>
      <c r="BM40" s="52"/>
      <c r="BN40" s="52"/>
      <c r="BO40" s="52"/>
      <c r="BP40" s="52"/>
      <c r="BQ40" s="52"/>
      <c r="BR40" s="52"/>
      <c r="BS40" s="52"/>
      <c r="BT40" s="52"/>
      <c r="BU40" s="52"/>
      <c r="BV40" s="52"/>
      <c r="BW40" s="52"/>
      <c r="BX40" s="52"/>
      <c r="BY40" s="52"/>
      <c r="BZ40" s="52"/>
      <c r="CA40" s="52"/>
      <c r="CB40" s="52"/>
      <c r="CC40" s="52"/>
      <c r="CD40" s="52"/>
      <c r="CE40" s="52"/>
      <c r="CF40" s="52"/>
      <c r="CG40" s="52"/>
      <c r="CH40" s="52"/>
      <c r="CI40" s="52"/>
      <c r="CJ40" s="52"/>
      <c r="CK40" s="52"/>
      <c r="CL40" s="52"/>
      <c r="CM40" s="52"/>
      <c r="CN40" s="52"/>
      <c r="CO40" s="52"/>
      <c r="CP40" s="52"/>
      <c r="CQ40" s="52"/>
      <c r="CR40" s="52"/>
      <c r="CS40" s="52"/>
      <c r="CT40" s="52"/>
      <c r="CU40" s="52"/>
      <c r="CV40" s="52"/>
      <c r="CW40" s="52"/>
      <c r="CX40" s="52"/>
      <c r="CY40" s="52"/>
      <c r="CZ40" s="52"/>
      <c r="DA40" s="52"/>
      <c r="DB40" s="52"/>
      <c r="DC40" s="52"/>
      <c r="DD40" s="52"/>
      <c r="DE40" s="52"/>
      <c r="DF40" s="52"/>
      <c r="DG40" s="52"/>
      <c r="DH40" s="52"/>
      <c r="DI40" s="52"/>
      <c r="DJ40" s="52"/>
      <c r="DK40" s="52"/>
      <c r="DL40" s="52"/>
      <c r="DM40" s="52"/>
      <c r="DN40" s="52"/>
      <c r="DO40" s="52"/>
      <c r="DP40" s="52"/>
      <c r="DQ40" s="52"/>
      <c r="DR40" s="52"/>
      <c r="DS40" s="52"/>
      <c r="DT40" s="52"/>
      <c r="DU40" s="52"/>
      <c r="DV40" s="52"/>
      <c r="DW40" s="52"/>
      <c r="DX40" s="52"/>
      <c r="DY40" s="52"/>
      <c r="DZ40" s="52"/>
      <c r="EA40" s="52"/>
      <c r="EB40" s="52"/>
      <c r="EC40" s="52"/>
      <c r="ED40" s="52"/>
      <c r="EE40" s="52"/>
      <c r="EF40" s="52"/>
      <c r="EG40" s="52"/>
      <c r="EH40" s="52"/>
      <c r="EI40" s="52"/>
      <c r="EJ40" s="52"/>
      <c r="EK40" s="52"/>
      <c r="EL40" s="52"/>
      <c r="EM40" s="52"/>
      <c r="EN40" s="52"/>
      <c r="EO40" s="52"/>
      <c r="EP40" s="52"/>
      <c r="EQ40" s="52"/>
      <c r="ER40" s="52"/>
      <c r="ES40" s="52"/>
      <c r="ET40" s="52"/>
      <c r="EU40" s="52"/>
      <c r="EV40" s="52"/>
      <c r="EW40" s="52"/>
      <c r="EX40" s="52"/>
      <c r="EY40" s="52"/>
      <c r="EZ40" s="52"/>
      <c r="FA40" s="52"/>
      <c r="FB40" s="52"/>
      <c r="FC40" s="52"/>
      <c r="FD40" s="52"/>
      <c r="FE40" s="52"/>
      <c r="FF40" s="52"/>
      <c r="FG40" s="52"/>
      <c r="FH40" s="52"/>
      <c r="FI40" s="52"/>
      <c r="FJ40" s="52"/>
      <c r="FK40" s="52"/>
      <c r="FL40" s="52"/>
      <c r="FM40" s="52"/>
      <c r="FN40" s="52"/>
      <c r="FO40" s="52"/>
      <c r="FP40" s="52"/>
      <c r="FQ40" s="52"/>
      <c r="FR40" s="52"/>
      <c r="FS40" s="52"/>
      <c r="FT40" s="52"/>
      <c r="FU40" s="52"/>
      <c r="FV40" s="52"/>
      <c r="FW40" s="52"/>
      <c r="FX40" s="52"/>
      <c r="FY40" s="52"/>
      <c r="FZ40" s="52"/>
      <c r="GA40" s="52"/>
      <c r="GB40" s="52"/>
      <c r="GC40" s="52"/>
      <c r="GD40" s="52"/>
      <c r="GE40" s="52"/>
      <c r="GF40" s="52"/>
      <c r="GG40" s="52"/>
      <c r="GH40" s="52"/>
      <c r="GI40" s="52"/>
      <c r="GJ40" s="52"/>
      <c r="GK40" s="52"/>
      <c r="GL40" s="52"/>
      <c r="GM40" s="52"/>
      <c r="GN40" s="52"/>
      <c r="GO40" s="52"/>
      <c r="GP40" s="52"/>
      <c r="GQ40" s="52"/>
      <c r="GR40" s="52"/>
      <c r="GS40" s="52"/>
      <c r="GT40" s="52"/>
      <c r="GU40" s="52"/>
      <c r="GV40" s="52"/>
      <c r="GW40" s="52"/>
      <c r="GX40" s="52"/>
      <c r="GY40" s="52"/>
      <c r="GZ40" s="52"/>
      <c r="HA40" s="52"/>
      <c r="HB40" s="52"/>
      <c r="HC40" s="52"/>
      <c r="HD40" s="52"/>
      <c r="HE40" s="52"/>
      <c r="HF40" s="52"/>
      <c r="HG40" s="52"/>
      <c r="HH40" s="52"/>
      <c r="HI40" s="52"/>
      <c r="HJ40" s="52"/>
      <c r="HK40" s="52"/>
      <c r="HL40" s="52"/>
      <c r="HM40" s="52"/>
      <c r="HN40" s="52"/>
      <c r="HO40" s="52"/>
      <c r="HP40" s="52"/>
      <c r="HQ40" s="52"/>
      <c r="HR40" s="52"/>
      <c r="HS40" s="52"/>
      <c r="HT40" s="52"/>
      <c r="HU40" s="52"/>
      <c r="HV40" s="52"/>
      <c r="HW40" s="52"/>
      <c r="HX40" s="52"/>
      <c r="HY40" s="52"/>
      <c r="HZ40" s="52"/>
      <c r="IA40" s="52"/>
      <c r="IB40" s="52"/>
      <c r="IC40" s="52"/>
      <c r="ID40" s="52"/>
      <c r="IE40" s="52"/>
      <c r="IF40" s="52"/>
      <c r="IG40" s="52"/>
      <c r="IH40" s="52"/>
      <c r="II40" s="52"/>
      <c r="IJ40" s="52"/>
      <c r="IK40" s="52"/>
      <c r="IL40" s="52"/>
      <c r="IM40" s="52"/>
      <c r="IN40" s="52"/>
      <c r="IO40" s="52"/>
      <c r="IP40" s="52"/>
      <c r="IQ40" s="52"/>
      <c r="IR40" s="52"/>
      <c r="IS40" s="52"/>
      <c r="IT40" s="52"/>
      <c r="IU40" s="52"/>
      <c r="IV40" s="52"/>
    </row>
    <row r="41" spans="1:256" ht="13.5" customHeight="1" x14ac:dyDescent="0.25">
      <c r="A41" s="1" t="s">
        <v>27</v>
      </c>
      <c r="B41" s="1"/>
      <c r="C41" s="1"/>
      <c r="D41" s="52"/>
      <c r="E41" s="52"/>
      <c r="F41" s="52"/>
      <c r="G41" s="52"/>
      <c r="H41" s="52"/>
      <c r="I41" s="52"/>
      <c r="J41" s="52"/>
      <c r="K41" s="52"/>
      <c r="L41" s="52"/>
      <c r="M41" s="52"/>
      <c r="N41" s="52"/>
      <c r="O41" s="52"/>
      <c r="P41" s="52"/>
      <c r="Q41" s="52"/>
      <c r="R41" s="52"/>
      <c r="S41" s="52"/>
      <c r="T41" s="52"/>
      <c r="U41" s="52"/>
      <c r="V41" s="52"/>
      <c r="W41" s="52"/>
      <c r="X41" s="52"/>
      <c r="Y41" s="52"/>
      <c r="Z41" s="52"/>
      <c r="AA41" s="52"/>
      <c r="AB41" s="52"/>
      <c r="AC41" s="52"/>
      <c r="AD41" s="52"/>
      <c r="AE41" s="52"/>
      <c r="AF41" s="52"/>
      <c r="AG41" s="52"/>
      <c r="AH41" s="52"/>
      <c r="AI41" s="52"/>
      <c r="AJ41" s="52"/>
      <c r="AK41" s="52"/>
      <c r="AL41" s="52"/>
      <c r="AM41" s="52"/>
      <c r="AN41" s="52"/>
      <c r="AO41" s="52"/>
      <c r="AP41" s="52"/>
      <c r="AQ41" s="52"/>
      <c r="AR41" s="52"/>
      <c r="AS41" s="52"/>
      <c r="AT41" s="52"/>
      <c r="AU41" s="52"/>
      <c r="AV41" s="52"/>
      <c r="AW41" s="52"/>
      <c r="AX41" s="52"/>
      <c r="AY41" s="52"/>
      <c r="AZ41" s="52"/>
      <c r="BA41" s="52"/>
      <c r="BB41" s="52"/>
      <c r="BC41" s="52"/>
      <c r="BD41" s="52"/>
      <c r="BE41" s="52"/>
      <c r="BF41" s="52"/>
      <c r="BG41" s="52"/>
      <c r="BH41" s="52"/>
      <c r="BI41" s="52"/>
      <c r="BJ41" s="52"/>
      <c r="BK41" s="52"/>
      <c r="BL41" s="52"/>
      <c r="BM41" s="52"/>
      <c r="BN41" s="52"/>
      <c r="BO41" s="52"/>
      <c r="BP41" s="52"/>
      <c r="BQ41" s="52"/>
      <c r="BR41" s="52"/>
      <c r="BS41" s="52"/>
      <c r="BT41" s="52"/>
      <c r="BU41" s="52"/>
      <c r="BV41" s="52"/>
      <c r="BW41" s="52"/>
      <c r="BX41" s="52"/>
      <c r="BY41" s="52"/>
      <c r="BZ41" s="52"/>
      <c r="CA41" s="52"/>
      <c r="CB41" s="52"/>
      <c r="CC41" s="52"/>
      <c r="CD41" s="52"/>
      <c r="CE41" s="52"/>
      <c r="CF41" s="52"/>
      <c r="CG41" s="52"/>
      <c r="CH41" s="52"/>
      <c r="CI41" s="52"/>
      <c r="CJ41" s="52"/>
      <c r="CK41" s="52"/>
      <c r="CL41" s="52"/>
      <c r="CM41" s="52"/>
      <c r="CN41" s="52"/>
      <c r="CO41" s="52"/>
      <c r="CP41" s="52"/>
      <c r="CQ41" s="52"/>
      <c r="CR41" s="52"/>
      <c r="CS41" s="52"/>
      <c r="CT41" s="52"/>
      <c r="CU41" s="52"/>
      <c r="CV41" s="52"/>
      <c r="CW41" s="52"/>
      <c r="CX41" s="52"/>
      <c r="CY41" s="52"/>
      <c r="CZ41" s="52"/>
      <c r="DA41" s="52"/>
      <c r="DB41" s="52"/>
      <c r="DC41" s="52"/>
      <c r="DD41" s="52"/>
      <c r="DE41" s="52"/>
      <c r="DF41" s="52"/>
      <c r="DG41" s="52"/>
      <c r="DH41" s="52"/>
      <c r="DI41" s="52"/>
      <c r="DJ41" s="52"/>
      <c r="DK41" s="52"/>
      <c r="DL41" s="52"/>
      <c r="DM41" s="52"/>
      <c r="DN41" s="52"/>
      <c r="DO41" s="52"/>
      <c r="DP41" s="52"/>
      <c r="DQ41" s="52"/>
      <c r="DR41" s="52"/>
      <c r="DS41" s="52"/>
      <c r="DT41" s="52"/>
      <c r="DU41" s="52"/>
      <c r="DV41" s="52"/>
      <c r="DW41" s="52"/>
      <c r="DX41" s="52"/>
      <c r="DY41" s="52"/>
      <c r="DZ41" s="52"/>
      <c r="EA41" s="52"/>
      <c r="EB41" s="52"/>
      <c r="EC41" s="52"/>
      <c r="ED41" s="52"/>
      <c r="EE41" s="52"/>
      <c r="EF41" s="52"/>
      <c r="EG41" s="52"/>
      <c r="EH41" s="52"/>
      <c r="EI41" s="52"/>
      <c r="EJ41" s="52"/>
      <c r="EK41" s="52"/>
      <c r="EL41" s="52"/>
      <c r="EM41" s="52"/>
      <c r="EN41" s="52"/>
      <c r="EO41" s="52"/>
      <c r="EP41" s="52"/>
      <c r="EQ41" s="52"/>
      <c r="ER41" s="52"/>
      <c r="ES41" s="52"/>
      <c r="ET41" s="52"/>
      <c r="EU41" s="52"/>
      <c r="EV41" s="52"/>
      <c r="EW41" s="52"/>
      <c r="EX41" s="52"/>
      <c r="EY41" s="52"/>
      <c r="EZ41" s="52"/>
      <c r="FA41" s="52"/>
      <c r="FB41" s="52"/>
      <c r="FC41" s="52"/>
      <c r="FD41" s="52"/>
      <c r="FE41" s="52"/>
      <c r="FF41" s="52"/>
      <c r="FG41" s="52"/>
      <c r="FH41" s="52"/>
      <c r="FI41" s="52"/>
      <c r="FJ41" s="52"/>
      <c r="FK41" s="52"/>
      <c r="FL41" s="52"/>
      <c r="FM41" s="52"/>
      <c r="FN41" s="52"/>
      <c r="FO41" s="52"/>
      <c r="FP41" s="52"/>
      <c r="FQ41" s="52"/>
      <c r="FR41" s="52"/>
      <c r="FS41" s="52"/>
      <c r="FT41" s="52"/>
      <c r="FU41" s="52"/>
      <c r="FV41" s="52"/>
      <c r="FW41" s="52"/>
      <c r="FX41" s="52"/>
      <c r="FY41" s="52"/>
      <c r="FZ41" s="52"/>
      <c r="GA41" s="52"/>
      <c r="GB41" s="52"/>
      <c r="GC41" s="52"/>
      <c r="GD41" s="52"/>
      <c r="GE41" s="52"/>
      <c r="GF41" s="52"/>
      <c r="GG41" s="52"/>
      <c r="GH41" s="52"/>
      <c r="GI41" s="52"/>
      <c r="GJ41" s="52"/>
      <c r="GK41" s="52"/>
      <c r="GL41" s="52"/>
      <c r="GM41" s="52"/>
      <c r="GN41" s="52"/>
      <c r="GO41" s="52"/>
      <c r="GP41" s="52"/>
      <c r="GQ41" s="52"/>
      <c r="GR41" s="52"/>
      <c r="GS41" s="52"/>
      <c r="GT41" s="52"/>
      <c r="GU41" s="52"/>
      <c r="GV41" s="52"/>
      <c r="GW41" s="52"/>
      <c r="GX41" s="52"/>
      <c r="GY41" s="52"/>
      <c r="GZ41" s="52"/>
      <c r="HA41" s="52"/>
      <c r="HB41" s="52"/>
      <c r="HC41" s="52"/>
      <c r="HD41" s="52"/>
      <c r="HE41" s="52"/>
      <c r="HF41" s="52"/>
      <c r="HG41" s="52"/>
      <c r="HH41" s="52"/>
      <c r="HI41" s="52"/>
      <c r="HJ41" s="52"/>
      <c r="HK41" s="52"/>
      <c r="HL41" s="52"/>
      <c r="HM41" s="52"/>
      <c r="HN41" s="52"/>
      <c r="HO41" s="52"/>
      <c r="HP41" s="52"/>
      <c r="HQ41" s="52"/>
      <c r="HR41" s="52"/>
      <c r="HS41" s="52"/>
      <c r="HT41" s="52"/>
      <c r="HU41" s="52"/>
      <c r="HV41" s="52"/>
      <c r="HW41" s="52"/>
      <c r="HX41" s="52"/>
      <c r="HY41" s="52"/>
      <c r="HZ41" s="52"/>
      <c r="IA41" s="52"/>
      <c r="IB41" s="52"/>
      <c r="IC41" s="52"/>
      <c r="ID41" s="52"/>
      <c r="IE41" s="52"/>
      <c r="IF41" s="52"/>
      <c r="IG41" s="52"/>
      <c r="IH41" s="52"/>
      <c r="II41" s="52"/>
      <c r="IJ41" s="52"/>
      <c r="IK41" s="52"/>
      <c r="IL41" s="52"/>
      <c r="IM41" s="52"/>
      <c r="IN41" s="52"/>
      <c r="IO41" s="52"/>
      <c r="IP41" s="52"/>
      <c r="IQ41" s="52"/>
      <c r="IR41" s="52"/>
      <c r="IS41" s="52"/>
      <c r="IT41" s="52"/>
      <c r="IU41" s="52"/>
      <c r="IV41" s="52"/>
    </row>
    <row r="42" spans="1:256" ht="18" customHeight="1" x14ac:dyDescent="0.25">
      <c r="A42" s="1" t="s">
        <v>130</v>
      </c>
      <c r="B42" s="1"/>
      <c r="C42" s="1"/>
      <c r="D42" s="52"/>
      <c r="E42" s="52"/>
      <c r="F42" s="52"/>
      <c r="G42" s="52"/>
      <c r="H42" s="52"/>
      <c r="I42" s="52"/>
      <c r="J42" s="52"/>
      <c r="K42" s="52"/>
      <c r="L42" s="52"/>
      <c r="M42" s="52"/>
      <c r="N42" s="52"/>
      <c r="O42" s="52"/>
      <c r="P42" s="52"/>
      <c r="Q42" s="52"/>
      <c r="R42" s="52"/>
      <c r="S42" s="52"/>
      <c r="T42" s="52"/>
      <c r="U42" s="52"/>
      <c r="V42" s="52"/>
      <c r="W42" s="52"/>
      <c r="X42" s="52"/>
      <c r="Y42" s="52"/>
      <c r="Z42" s="52"/>
      <c r="AA42" s="52"/>
      <c r="AB42" s="52"/>
      <c r="AC42" s="52"/>
      <c r="AD42" s="52"/>
      <c r="AE42" s="52"/>
      <c r="AF42" s="52"/>
      <c r="AG42" s="52"/>
      <c r="AH42" s="52"/>
      <c r="AI42" s="52"/>
      <c r="AJ42" s="52"/>
      <c r="AK42" s="52"/>
      <c r="AL42" s="52"/>
      <c r="AM42" s="52"/>
      <c r="AN42" s="52"/>
      <c r="AO42" s="52"/>
      <c r="AP42" s="52"/>
      <c r="AQ42" s="52"/>
      <c r="AR42" s="52"/>
      <c r="AS42" s="52"/>
      <c r="AT42" s="52"/>
      <c r="AU42" s="52"/>
      <c r="AV42" s="52"/>
      <c r="AW42" s="52"/>
      <c r="AX42" s="52"/>
      <c r="AY42" s="52"/>
      <c r="AZ42" s="52"/>
      <c r="BA42" s="52"/>
      <c r="BB42" s="52"/>
      <c r="BC42" s="52"/>
      <c r="BD42" s="52"/>
      <c r="BE42" s="52"/>
      <c r="BF42" s="52"/>
      <c r="BG42" s="52"/>
      <c r="BH42" s="52"/>
      <c r="BI42" s="52"/>
      <c r="BJ42" s="52"/>
      <c r="BK42" s="52"/>
      <c r="BL42" s="52"/>
      <c r="BM42" s="52"/>
      <c r="BN42" s="52"/>
      <c r="BO42" s="52"/>
      <c r="BP42" s="52"/>
      <c r="BQ42" s="52"/>
      <c r="BR42" s="52"/>
      <c r="BS42" s="52"/>
      <c r="BT42" s="52"/>
      <c r="BU42" s="52"/>
      <c r="BV42" s="52"/>
      <c r="BW42" s="52"/>
      <c r="BX42" s="52"/>
      <c r="BY42" s="52"/>
      <c r="BZ42" s="52"/>
      <c r="CA42" s="52"/>
      <c r="CB42" s="52"/>
      <c r="CC42" s="52"/>
      <c r="CD42" s="52"/>
      <c r="CE42" s="52"/>
      <c r="CF42" s="52"/>
      <c r="CG42" s="52"/>
      <c r="CH42" s="52"/>
      <c r="CI42" s="52"/>
      <c r="CJ42" s="52"/>
      <c r="CK42" s="52"/>
      <c r="CL42" s="52"/>
      <c r="CM42" s="52"/>
      <c r="CN42" s="52"/>
      <c r="CO42" s="52"/>
      <c r="CP42" s="52"/>
      <c r="CQ42" s="52"/>
      <c r="CR42" s="52"/>
      <c r="CS42" s="52"/>
      <c r="CT42" s="52"/>
      <c r="CU42" s="52"/>
      <c r="CV42" s="52"/>
      <c r="CW42" s="52"/>
      <c r="CX42" s="52"/>
      <c r="CY42" s="52"/>
      <c r="CZ42" s="52"/>
      <c r="DA42" s="52"/>
      <c r="DB42" s="52"/>
      <c r="DC42" s="52"/>
      <c r="DD42" s="52"/>
      <c r="DE42" s="52"/>
      <c r="DF42" s="52"/>
      <c r="DG42" s="52"/>
      <c r="DH42" s="52"/>
      <c r="DI42" s="52"/>
      <c r="DJ42" s="52"/>
      <c r="DK42" s="52"/>
      <c r="DL42" s="52"/>
      <c r="DM42" s="52"/>
      <c r="DN42" s="52"/>
      <c r="DO42" s="52"/>
      <c r="DP42" s="52"/>
      <c r="DQ42" s="52"/>
      <c r="DR42" s="52"/>
      <c r="DS42" s="52"/>
      <c r="DT42" s="52"/>
      <c r="DU42" s="52"/>
      <c r="DV42" s="52"/>
      <c r="DW42" s="52"/>
      <c r="DX42" s="52"/>
      <c r="DY42" s="52"/>
      <c r="DZ42" s="52"/>
      <c r="EA42" s="52"/>
      <c r="EB42" s="52"/>
      <c r="EC42" s="52"/>
      <c r="ED42" s="52"/>
      <c r="EE42" s="52"/>
      <c r="EF42" s="52"/>
      <c r="EG42" s="52"/>
      <c r="EH42" s="52"/>
      <c r="EI42" s="52"/>
      <c r="EJ42" s="52"/>
      <c r="EK42" s="52"/>
      <c r="EL42" s="52"/>
      <c r="EM42" s="52"/>
      <c r="EN42" s="52"/>
      <c r="EO42" s="52"/>
      <c r="EP42" s="52"/>
      <c r="EQ42" s="52"/>
      <c r="ER42" s="52"/>
      <c r="ES42" s="52"/>
      <c r="ET42" s="52"/>
      <c r="EU42" s="52"/>
      <c r="EV42" s="52"/>
      <c r="EW42" s="52"/>
      <c r="EX42" s="52"/>
      <c r="EY42" s="52"/>
      <c r="EZ42" s="52"/>
      <c r="FA42" s="52"/>
      <c r="FB42" s="52"/>
      <c r="FC42" s="52"/>
      <c r="FD42" s="52"/>
      <c r="FE42" s="52"/>
      <c r="FF42" s="52"/>
      <c r="FG42" s="52"/>
      <c r="FH42" s="52"/>
      <c r="FI42" s="52"/>
      <c r="FJ42" s="52"/>
      <c r="FK42" s="52"/>
      <c r="FL42" s="52"/>
      <c r="FM42" s="52"/>
      <c r="FN42" s="52"/>
      <c r="FO42" s="52"/>
      <c r="FP42" s="52"/>
      <c r="FQ42" s="52"/>
      <c r="FR42" s="52"/>
      <c r="FS42" s="52"/>
      <c r="FT42" s="52"/>
      <c r="FU42" s="52"/>
      <c r="FV42" s="52"/>
      <c r="FW42" s="52"/>
      <c r="FX42" s="52"/>
      <c r="FY42" s="52"/>
      <c r="FZ42" s="52"/>
      <c r="GA42" s="52"/>
      <c r="GB42" s="52"/>
      <c r="GC42" s="52"/>
      <c r="GD42" s="52"/>
      <c r="GE42" s="52"/>
      <c r="GF42" s="52"/>
      <c r="GG42" s="52"/>
      <c r="GH42" s="52"/>
      <c r="GI42" s="52"/>
      <c r="GJ42" s="52"/>
      <c r="GK42" s="52"/>
      <c r="GL42" s="52"/>
      <c r="GM42" s="52"/>
      <c r="GN42" s="52"/>
      <c r="GO42" s="52"/>
      <c r="GP42" s="52"/>
      <c r="GQ42" s="52"/>
      <c r="GR42" s="52"/>
      <c r="GS42" s="52"/>
      <c r="GT42" s="52"/>
      <c r="GU42" s="52"/>
      <c r="GV42" s="52"/>
      <c r="GW42" s="52"/>
      <c r="GX42" s="52"/>
      <c r="GY42" s="52"/>
      <c r="GZ42" s="52"/>
      <c r="HA42" s="52"/>
      <c r="HB42" s="52"/>
      <c r="HC42" s="52"/>
      <c r="HD42" s="52"/>
      <c r="HE42" s="52"/>
      <c r="HF42" s="52"/>
      <c r="HG42" s="52"/>
      <c r="HH42" s="52"/>
      <c r="HI42" s="52"/>
      <c r="HJ42" s="52"/>
      <c r="HK42" s="52"/>
      <c r="HL42" s="52"/>
      <c r="HM42" s="52"/>
      <c r="HN42" s="52"/>
      <c r="HO42" s="52"/>
      <c r="HP42" s="52"/>
      <c r="HQ42" s="52"/>
      <c r="HR42" s="52"/>
      <c r="HS42" s="52"/>
      <c r="HT42" s="52"/>
      <c r="HU42" s="52"/>
      <c r="HV42" s="52"/>
      <c r="HW42" s="52"/>
      <c r="HX42" s="52"/>
      <c r="HY42" s="52"/>
      <c r="HZ42" s="52"/>
      <c r="IA42" s="52"/>
      <c r="IB42" s="52"/>
      <c r="IC42" s="52"/>
      <c r="ID42" s="52"/>
      <c r="IE42" s="52"/>
      <c r="IF42" s="52"/>
      <c r="IG42" s="52"/>
      <c r="IH42" s="52"/>
      <c r="II42" s="52"/>
      <c r="IJ42" s="52"/>
      <c r="IK42" s="52"/>
      <c r="IL42" s="52"/>
      <c r="IM42" s="52"/>
      <c r="IN42" s="52"/>
      <c r="IO42" s="52"/>
      <c r="IP42" s="52"/>
      <c r="IQ42" s="52"/>
      <c r="IR42" s="52"/>
      <c r="IS42" s="52"/>
      <c r="IT42" s="52"/>
      <c r="IU42" s="52"/>
      <c r="IV42" s="52"/>
    </row>
    <row r="43" spans="1:256" ht="18.75" customHeight="1" x14ac:dyDescent="0.25">
      <c r="A43" s="2" t="s">
        <v>28</v>
      </c>
      <c r="B43" s="52"/>
      <c r="C43" s="52"/>
      <c r="D43" s="52"/>
      <c r="E43" s="52"/>
      <c r="F43" s="52"/>
      <c r="G43" s="52"/>
      <c r="H43" s="52"/>
      <c r="I43" s="52"/>
      <c r="J43" s="52"/>
      <c r="K43" s="52"/>
      <c r="L43" s="52"/>
      <c r="M43" s="52"/>
      <c r="N43" s="52"/>
      <c r="O43" s="52"/>
      <c r="P43" s="52"/>
      <c r="Q43" s="52"/>
      <c r="R43" s="52"/>
      <c r="S43" s="52"/>
      <c r="T43" s="52"/>
      <c r="U43" s="52"/>
      <c r="V43" s="52"/>
      <c r="W43" s="52"/>
      <c r="X43" s="52"/>
      <c r="Y43" s="52"/>
      <c r="Z43" s="52"/>
      <c r="AA43" s="52"/>
      <c r="AB43" s="52"/>
      <c r="AC43" s="52"/>
      <c r="AD43" s="52"/>
      <c r="AE43" s="52"/>
      <c r="AF43" s="52"/>
      <c r="AG43" s="52"/>
      <c r="AH43" s="52"/>
      <c r="AI43" s="52"/>
      <c r="AJ43" s="52"/>
      <c r="AK43" s="52"/>
      <c r="AL43" s="52"/>
      <c r="AM43" s="52"/>
      <c r="AN43" s="52"/>
      <c r="AO43" s="52"/>
      <c r="AP43" s="52"/>
      <c r="AQ43" s="52"/>
      <c r="AR43" s="52"/>
      <c r="AS43" s="52"/>
      <c r="AT43" s="52"/>
      <c r="AU43" s="52"/>
      <c r="AV43" s="52"/>
      <c r="AW43" s="52"/>
      <c r="AX43" s="52"/>
      <c r="AY43" s="52"/>
      <c r="AZ43" s="52"/>
      <c r="BA43" s="52"/>
      <c r="BB43" s="52"/>
      <c r="BC43" s="52"/>
      <c r="BD43" s="52"/>
      <c r="BE43" s="52"/>
      <c r="BF43" s="52"/>
      <c r="BG43" s="52"/>
      <c r="BH43" s="52"/>
      <c r="BI43" s="52"/>
      <c r="BJ43" s="52"/>
      <c r="BK43" s="52"/>
      <c r="BL43" s="52"/>
      <c r="BM43" s="52"/>
      <c r="BN43" s="52"/>
      <c r="BO43" s="52"/>
      <c r="BP43" s="52"/>
      <c r="BQ43" s="52"/>
      <c r="BR43" s="52"/>
      <c r="BS43" s="52"/>
      <c r="BT43" s="52"/>
      <c r="BU43" s="52"/>
      <c r="BV43" s="52"/>
      <c r="BW43" s="52"/>
      <c r="BX43" s="52"/>
      <c r="BY43" s="52"/>
      <c r="BZ43" s="52"/>
      <c r="CA43" s="52"/>
      <c r="CB43" s="52"/>
      <c r="CC43" s="52"/>
      <c r="CD43" s="52"/>
      <c r="CE43" s="52"/>
      <c r="CF43" s="52"/>
      <c r="CG43" s="52"/>
      <c r="CH43" s="52"/>
      <c r="CI43" s="52"/>
      <c r="CJ43" s="52"/>
      <c r="CK43" s="52"/>
      <c r="CL43" s="52"/>
      <c r="CM43" s="52"/>
      <c r="CN43" s="52"/>
      <c r="CO43" s="52"/>
      <c r="CP43" s="52"/>
      <c r="CQ43" s="52"/>
      <c r="CR43" s="52"/>
      <c r="CS43" s="52"/>
      <c r="CT43" s="52"/>
      <c r="CU43" s="52"/>
      <c r="CV43" s="52"/>
      <c r="CW43" s="52"/>
      <c r="CX43" s="52"/>
      <c r="CY43" s="52"/>
      <c r="CZ43" s="52"/>
      <c r="DA43" s="52"/>
      <c r="DB43" s="52"/>
      <c r="DC43" s="52"/>
      <c r="DD43" s="52"/>
      <c r="DE43" s="52"/>
      <c r="DF43" s="52"/>
      <c r="DG43" s="52"/>
      <c r="DH43" s="52"/>
      <c r="DI43" s="52"/>
      <c r="DJ43" s="52"/>
      <c r="DK43" s="52"/>
      <c r="DL43" s="52"/>
      <c r="DM43" s="52"/>
      <c r="DN43" s="52"/>
      <c r="DO43" s="52"/>
      <c r="DP43" s="52"/>
      <c r="DQ43" s="52"/>
      <c r="DR43" s="52"/>
      <c r="DS43" s="52"/>
      <c r="DT43" s="52"/>
      <c r="DU43" s="52"/>
      <c r="DV43" s="52"/>
      <c r="DW43" s="52"/>
      <c r="DX43" s="52"/>
      <c r="DY43" s="52"/>
      <c r="DZ43" s="52"/>
      <c r="EA43" s="52"/>
      <c r="EB43" s="52"/>
      <c r="EC43" s="52"/>
      <c r="ED43" s="52"/>
      <c r="EE43" s="52"/>
      <c r="EF43" s="52"/>
      <c r="EG43" s="52"/>
      <c r="EH43" s="52"/>
      <c r="EI43" s="52"/>
      <c r="EJ43" s="52"/>
      <c r="EK43" s="52"/>
      <c r="EL43" s="52"/>
      <c r="EM43" s="52"/>
      <c r="EN43" s="52"/>
      <c r="EO43" s="52"/>
      <c r="EP43" s="52"/>
      <c r="EQ43" s="52"/>
      <c r="ER43" s="52"/>
      <c r="ES43" s="52"/>
      <c r="ET43" s="52"/>
      <c r="EU43" s="52"/>
      <c r="EV43" s="52"/>
      <c r="EW43" s="52"/>
      <c r="EX43" s="52"/>
      <c r="EY43" s="52"/>
      <c r="EZ43" s="52"/>
      <c r="FA43" s="52"/>
      <c r="FB43" s="52"/>
      <c r="FC43" s="52"/>
      <c r="FD43" s="52"/>
      <c r="FE43" s="52"/>
      <c r="FF43" s="52"/>
      <c r="FG43" s="52"/>
      <c r="FH43" s="52"/>
      <c r="FI43" s="52"/>
      <c r="FJ43" s="52"/>
      <c r="FK43" s="52"/>
      <c r="FL43" s="52"/>
      <c r="FM43" s="52"/>
      <c r="FN43" s="52"/>
      <c r="FO43" s="52"/>
      <c r="FP43" s="52"/>
      <c r="FQ43" s="52"/>
      <c r="FR43" s="52"/>
      <c r="FS43" s="52"/>
      <c r="FT43" s="52"/>
      <c r="FU43" s="52"/>
      <c r="FV43" s="52"/>
      <c r="FW43" s="52"/>
      <c r="FX43" s="52"/>
      <c r="FY43" s="52"/>
      <c r="FZ43" s="52"/>
      <c r="GA43" s="52"/>
      <c r="GB43" s="52"/>
      <c r="GC43" s="52"/>
      <c r="GD43" s="52"/>
      <c r="GE43" s="52"/>
      <c r="GF43" s="52"/>
      <c r="GG43" s="52"/>
      <c r="GH43" s="52"/>
      <c r="GI43" s="52"/>
      <c r="GJ43" s="52"/>
      <c r="GK43" s="52"/>
      <c r="GL43" s="52"/>
      <c r="GM43" s="52"/>
      <c r="GN43" s="52"/>
      <c r="GO43" s="52"/>
      <c r="GP43" s="52"/>
      <c r="GQ43" s="52"/>
      <c r="GR43" s="52"/>
      <c r="GS43" s="52"/>
      <c r="GT43" s="52"/>
      <c r="GU43" s="52"/>
      <c r="GV43" s="52"/>
      <c r="GW43" s="52"/>
      <c r="GX43" s="52"/>
      <c r="GY43" s="52"/>
      <c r="GZ43" s="52"/>
      <c r="HA43" s="52"/>
      <c r="HB43" s="52"/>
      <c r="HC43" s="52"/>
      <c r="HD43" s="52"/>
      <c r="HE43" s="52"/>
      <c r="HF43" s="52"/>
      <c r="HG43" s="52"/>
      <c r="HH43" s="52"/>
      <c r="HI43" s="52"/>
      <c r="HJ43" s="52"/>
      <c r="HK43" s="52"/>
      <c r="HL43" s="52"/>
      <c r="HM43" s="52"/>
      <c r="HN43" s="52"/>
      <c r="HO43" s="52"/>
      <c r="HP43" s="52"/>
      <c r="HQ43" s="52"/>
      <c r="HR43" s="52"/>
      <c r="HS43" s="52"/>
      <c r="HT43" s="52"/>
      <c r="HU43" s="52"/>
      <c r="HV43" s="52"/>
      <c r="HW43" s="52"/>
      <c r="HX43" s="52"/>
      <c r="HY43" s="52"/>
      <c r="HZ43" s="52"/>
      <c r="IA43" s="52"/>
      <c r="IB43" s="52"/>
      <c r="IC43" s="52"/>
      <c r="ID43" s="52"/>
      <c r="IE43" s="52"/>
      <c r="IF43" s="52"/>
      <c r="IG43" s="52"/>
      <c r="IH43" s="52"/>
      <c r="II43" s="52"/>
      <c r="IJ43" s="52"/>
      <c r="IK43" s="52"/>
      <c r="IL43" s="52"/>
      <c r="IM43" s="52"/>
      <c r="IN43" s="52"/>
      <c r="IO43" s="52"/>
      <c r="IP43" s="52"/>
      <c r="IQ43" s="52"/>
      <c r="IR43" s="52"/>
      <c r="IS43" s="52"/>
      <c r="IT43" s="52"/>
      <c r="IU43" s="52"/>
      <c r="IV43" s="52"/>
    </row>
    <row r="44" spans="1:256" ht="17.25" customHeight="1" x14ac:dyDescent="0.25">
      <c r="A44" s="52" t="s">
        <v>270</v>
      </c>
      <c r="B44" s="52"/>
      <c r="C44" s="52"/>
      <c r="D44" s="52"/>
      <c r="E44" s="52"/>
      <c r="F44" s="52"/>
      <c r="G44" s="52"/>
      <c r="H44" s="52"/>
      <c r="I44" s="52"/>
      <c r="J44" s="52"/>
      <c r="K44" s="52"/>
      <c r="L44" s="52"/>
      <c r="M44" s="52"/>
      <c r="N44" s="52"/>
      <c r="O44" s="52"/>
      <c r="P44" s="52"/>
      <c r="Q44" s="52"/>
      <c r="R44" s="52"/>
      <c r="S44" s="52"/>
      <c r="T44" s="52"/>
      <c r="U44" s="52"/>
      <c r="V44" s="52"/>
      <c r="W44" s="52"/>
      <c r="X44" s="52"/>
      <c r="Y44" s="52"/>
      <c r="Z44" s="52"/>
      <c r="AA44" s="52"/>
      <c r="AB44" s="52"/>
      <c r="AC44" s="52"/>
      <c r="AD44" s="52"/>
      <c r="AE44" s="52"/>
      <c r="AF44" s="52"/>
      <c r="AG44" s="52"/>
      <c r="AH44" s="52"/>
      <c r="AI44" s="52"/>
      <c r="AJ44" s="52"/>
      <c r="AK44" s="52"/>
      <c r="AL44" s="52"/>
      <c r="AM44" s="52"/>
      <c r="AN44" s="52"/>
      <c r="AO44" s="52"/>
      <c r="AP44" s="52"/>
      <c r="AQ44" s="52"/>
      <c r="AR44" s="52"/>
      <c r="AS44" s="52"/>
      <c r="AT44" s="52"/>
      <c r="AU44" s="52"/>
      <c r="AV44" s="52"/>
      <c r="AW44" s="52"/>
      <c r="AX44" s="52"/>
      <c r="AY44" s="52"/>
      <c r="AZ44" s="52"/>
      <c r="BA44" s="52"/>
      <c r="BB44" s="52"/>
      <c r="BC44" s="52"/>
      <c r="BD44" s="52"/>
      <c r="BE44" s="52"/>
      <c r="BF44" s="52"/>
      <c r="BG44" s="52"/>
      <c r="BH44" s="52"/>
      <c r="BI44" s="52"/>
      <c r="BJ44" s="52"/>
      <c r="BK44" s="52"/>
      <c r="BL44" s="52"/>
      <c r="BM44" s="52"/>
      <c r="BN44" s="52"/>
      <c r="BO44" s="52"/>
      <c r="BP44" s="52"/>
      <c r="BQ44" s="52"/>
      <c r="BR44" s="52"/>
      <c r="BS44" s="52"/>
      <c r="BT44" s="52"/>
      <c r="BU44" s="52"/>
      <c r="BV44" s="52"/>
      <c r="BW44" s="52"/>
      <c r="BX44" s="52"/>
      <c r="BY44" s="52"/>
      <c r="BZ44" s="52"/>
      <c r="CA44" s="52"/>
      <c r="CB44" s="52"/>
      <c r="CC44" s="52"/>
      <c r="CD44" s="52"/>
      <c r="CE44" s="52"/>
      <c r="CF44" s="52"/>
      <c r="CG44" s="52"/>
      <c r="CH44" s="52"/>
      <c r="CI44" s="52"/>
      <c r="CJ44" s="52"/>
      <c r="CK44" s="52"/>
      <c r="CL44" s="52"/>
      <c r="CM44" s="52"/>
      <c r="CN44" s="52"/>
      <c r="CO44" s="52"/>
      <c r="CP44" s="52"/>
      <c r="CQ44" s="52"/>
      <c r="CR44" s="52"/>
      <c r="CS44" s="52"/>
      <c r="CT44" s="52"/>
      <c r="CU44" s="52"/>
      <c r="CV44" s="52"/>
      <c r="CW44" s="52"/>
      <c r="CX44" s="52"/>
      <c r="CY44" s="52"/>
      <c r="CZ44" s="52"/>
      <c r="DA44" s="52"/>
      <c r="DB44" s="52"/>
      <c r="DC44" s="52"/>
      <c r="DD44" s="52"/>
      <c r="DE44" s="52"/>
      <c r="DF44" s="52"/>
      <c r="DG44" s="52"/>
      <c r="DH44" s="52"/>
      <c r="DI44" s="52"/>
      <c r="DJ44" s="52"/>
      <c r="DK44" s="52"/>
      <c r="DL44" s="52"/>
      <c r="DM44" s="52"/>
      <c r="DN44" s="52"/>
      <c r="DO44" s="52"/>
      <c r="DP44" s="52"/>
      <c r="DQ44" s="52"/>
      <c r="DR44" s="52"/>
      <c r="DS44" s="52"/>
      <c r="DT44" s="52"/>
      <c r="DU44" s="52"/>
      <c r="DV44" s="52"/>
      <c r="DW44" s="52"/>
      <c r="DX44" s="52"/>
      <c r="DY44" s="52"/>
      <c r="DZ44" s="52"/>
      <c r="EA44" s="52"/>
      <c r="EB44" s="52"/>
      <c r="EC44" s="52"/>
      <c r="ED44" s="52"/>
      <c r="EE44" s="52"/>
      <c r="EF44" s="52"/>
      <c r="EG44" s="52"/>
      <c r="EH44" s="52"/>
      <c r="EI44" s="52"/>
      <c r="EJ44" s="52"/>
      <c r="EK44" s="52"/>
      <c r="EL44" s="52"/>
      <c r="EM44" s="52"/>
      <c r="EN44" s="52"/>
      <c r="EO44" s="52"/>
      <c r="EP44" s="52"/>
      <c r="EQ44" s="52"/>
      <c r="ER44" s="52"/>
      <c r="ES44" s="52"/>
      <c r="ET44" s="52"/>
      <c r="EU44" s="52"/>
      <c r="EV44" s="52"/>
      <c r="EW44" s="52"/>
      <c r="EX44" s="52"/>
      <c r="EY44" s="52"/>
      <c r="EZ44" s="52"/>
      <c r="FA44" s="52"/>
      <c r="FB44" s="52"/>
      <c r="FC44" s="52"/>
      <c r="FD44" s="52"/>
      <c r="FE44" s="52"/>
      <c r="FF44" s="52"/>
      <c r="FG44" s="52"/>
      <c r="FH44" s="52"/>
      <c r="FI44" s="52"/>
      <c r="FJ44" s="52"/>
      <c r="FK44" s="52"/>
      <c r="FL44" s="52"/>
      <c r="FM44" s="52"/>
      <c r="FN44" s="52"/>
      <c r="FO44" s="52"/>
      <c r="FP44" s="52"/>
      <c r="FQ44" s="52"/>
      <c r="FR44" s="52"/>
      <c r="FS44" s="52"/>
      <c r="FT44" s="52"/>
      <c r="FU44" s="52"/>
      <c r="FV44" s="52"/>
      <c r="FW44" s="52"/>
      <c r="FX44" s="52"/>
      <c r="FY44" s="52"/>
      <c r="FZ44" s="52"/>
      <c r="GA44" s="52"/>
      <c r="GB44" s="52"/>
      <c r="GC44" s="52"/>
      <c r="GD44" s="52"/>
      <c r="GE44" s="52"/>
      <c r="GF44" s="52"/>
      <c r="GG44" s="52"/>
      <c r="GH44" s="52"/>
      <c r="GI44" s="52"/>
      <c r="GJ44" s="52"/>
      <c r="GK44" s="52"/>
      <c r="GL44" s="52"/>
      <c r="GM44" s="52"/>
      <c r="GN44" s="52"/>
      <c r="GO44" s="52"/>
      <c r="GP44" s="52"/>
      <c r="GQ44" s="52"/>
      <c r="GR44" s="52"/>
      <c r="GS44" s="52"/>
      <c r="GT44" s="52"/>
      <c r="GU44" s="52"/>
      <c r="GV44" s="52"/>
      <c r="GW44" s="52"/>
      <c r="GX44" s="52"/>
      <c r="GY44" s="52"/>
      <c r="GZ44" s="52"/>
      <c r="HA44" s="52"/>
      <c r="HB44" s="52"/>
      <c r="HC44" s="52"/>
      <c r="HD44" s="52"/>
      <c r="HE44" s="52"/>
      <c r="HF44" s="52"/>
      <c r="HG44" s="52"/>
      <c r="HH44" s="52"/>
      <c r="HI44" s="52"/>
      <c r="HJ44" s="52"/>
      <c r="HK44" s="52"/>
      <c r="HL44" s="52"/>
      <c r="HM44" s="52"/>
      <c r="HN44" s="52"/>
      <c r="HO44" s="52"/>
      <c r="HP44" s="52"/>
      <c r="HQ44" s="52"/>
      <c r="HR44" s="52"/>
      <c r="HS44" s="52"/>
      <c r="HT44" s="52"/>
      <c r="HU44" s="52"/>
      <c r="HV44" s="52"/>
      <c r="HW44" s="52"/>
      <c r="HX44" s="52"/>
      <c r="HY44" s="52"/>
      <c r="HZ44" s="52"/>
      <c r="IA44" s="52"/>
      <c r="IB44" s="52"/>
      <c r="IC44" s="52"/>
      <c r="ID44" s="52"/>
      <c r="IE44" s="52"/>
      <c r="IF44" s="52"/>
      <c r="IG44" s="52"/>
      <c r="IH44" s="52"/>
      <c r="II44" s="52"/>
      <c r="IJ44" s="52"/>
      <c r="IK44" s="52"/>
      <c r="IL44" s="52"/>
      <c r="IM44" s="52"/>
      <c r="IN44" s="52"/>
      <c r="IO44" s="52"/>
      <c r="IP44" s="52"/>
      <c r="IQ44" s="52"/>
      <c r="IR44" s="52"/>
      <c r="IS44" s="52"/>
      <c r="IT44" s="52"/>
      <c r="IU44" s="52"/>
      <c r="IV44" s="52"/>
    </row>
  </sheetData>
  <mergeCells count="48">
    <mergeCell ref="C1:I1"/>
    <mergeCell ref="A12:I12"/>
    <mergeCell ref="A13:I13"/>
    <mergeCell ref="A15:I15"/>
    <mergeCell ref="B17:C17"/>
    <mergeCell ref="D17:G17"/>
    <mergeCell ref="B18:C18"/>
    <mergeCell ref="D18:G18"/>
    <mergeCell ref="B19:C19"/>
    <mergeCell ref="D19:G19"/>
    <mergeCell ref="B20:C20"/>
    <mergeCell ref="D20:G20"/>
    <mergeCell ref="B21:C21"/>
    <mergeCell ref="D21:G21"/>
    <mergeCell ref="B22:C22"/>
    <mergeCell ref="D22:G22"/>
    <mergeCell ref="B23:C23"/>
    <mergeCell ref="D23:G23"/>
    <mergeCell ref="B24:C24"/>
    <mergeCell ref="D24:G24"/>
    <mergeCell ref="B25:C25"/>
    <mergeCell ref="D25:G25"/>
    <mergeCell ref="B26:C26"/>
    <mergeCell ref="D26:G26"/>
    <mergeCell ref="B27:C27"/>
    <mergeCell ref="D27:G27"/>
    <mergeCell ref="B28:C28"/>
    <mergeCell ref="D28:G28"/>
    <mergeCell ref="B29:C29"/>
    <mergeCell ref="D29:G29"/>
    <mergeCell ref="B30:C30"/>
    <mergeCell ref="D30:G30"/>
    <mergeCell ref="B31:C31"/>
    <mergeCell ref="D31:G31"/>
    <mergeCell ref="B32:C32"/>
    <mergeCell ref="D32:G32"/>
    <mergeCell ref="B33:C33"/>
    <mergeCell ref="D33:G33"/>
    <mergeCell ref="B35:C35"/>
    <mergeCell ref="D35:G35"/>
    <mergeCell ref="B36:C36"/>
    <mergeCell ref="D36:G36"/>
    <mergeCell ref="B37:C37"/>
    <mergeCell ref="D37:G37"/>
    <mergeCell ref="B38:C38"/>
    <mergeCell ref="D38:G38"/>
    <mergeCell ref="B34:C34"/>
    <mergeCell ref="D34:G34"/>
  </mergeCells>
  <pageMargins left="0.11811023622047245" right="0.19685039370078741" top="7.874015748031496E-2" bottom="0.19685039370078741" header="0.31496062992125984" footer="0.31496062992125984"/>
  <pageSetup paperSize="9" orientation="portrait" useFirstPageNumber="1" r:id="rId1"/>
  <headerFooter alignWithMargins="0">
    <oddFooter>&amp;CСтраница &amp;P</oddFooter>
  </headerFooter>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4"/>
  <sheetViews>
    <sheetView topLeftCell="A13" zoomScaleNormal="100" workbookViewId="0">
      <selection activeCell="F13" sqref="F13"/>
    </sheetView>
  </sheetViews>
  <sheetFormatPr defaultRowHeight="15.75" x14ac:dyDescent="0.25"/>
  <cols>
    <col min="1" max="1" width="4.7109375" style="1" customWidth="1"/>
    <col min="2" max="2" width="26.140625" style="1" customWidth="1"/>
    <col min="3" max="3" width="33" style="1" customWidth="1"/>
    <col min="4" max="4" width="26.7109375" style="1" customWidth="1"/>
    <col min="5" max="5" width="11.85546875" style="1" customWidth="1"/>
    <col min="6" max="16384" width="9.140625" style="1"/>
  </cols>
  <sheetData>
    <row r="1" spans="1:5" x14ac:dyDescent="0.25">
      <c r="B1" s="188" t="s">
        <v>280</v>
      </c>
      <c r="C1" s="188"/>
      <c r="D1" s="188"/>
    </row>
    <row r="3" spans="1:5" x14ac:dyDescent="0.25">
      <c r="A3" s="92" t="s">
        <v>230</v>
      </c>
      <c r="B3" s="93"/>
      <c r="C3" s="94"/>
      <c r="D3" s="92" t="s">
        <v>231</v>
      </c>
      <c r="E3"/>
    </row>
    <row r="4" spans="1:5" x14ac:dyDescent="0.25">
      <c r="A4" s="95" t="s">
        <v>232</v>
      </c>
      <c r="B4" s="96"/>
      <c r="C4" s="94"/>
      <c r="D4" s="95" t="s">
        <v>233</v>
      </c>
      <c r="E4"/>
    </row>
    <row r="5" spans="1:5" x14ac:dyDescent="0.25">
      <c r="A5" s="97" t="s">
        <v>4</v>
      </c>
      <c r="B5" s="98"/>
      <c r="C5" s="20"/>
      <c r="D5" s="97" t="s">
        <v>183</v>
      </c>
      <c r="E5" s="99"/>
    </row>
    <row r="6" spans="1:5" x14ac:dyDescent="0.25">
      <c r="A6" s="97" t="s">
        <v>235</v>
      </c>
      <c r="B6" s="98"/>
      <c r="C6" s="100"/>
      <c r="D6" s="97" t="s">
        <v>5</v>
      </c>
      <c r="E6" s="101"/>
    </row>
    <row r="7" spans="1:5" x14ac:dyDescent="0.25">
      <c r="A7"/>
      <c r="B7" s="102"/>
      <c r="C7"/>
      <c r="D7" s="97"/>
      <c r="E7" s="99"/>
    </row>
    <row r="8" spans="1:5" x14ac:dyDescent="0.25">
      <c r="A8" s="97" t="s">
        <v>236</v>
      </c>
      <c r="B8" s="98"/>
      <c r="D8" s="97" t="s">
        <v>237</v>
      </c>
      <c r="E8" s="99"/>
    </row>
    <row r="9" spans="1:5" x14ac:dyDescent="0.25">
      <c r="A9" s="97" t="s">
        <v>281</v>
      </c>
      <c r="B9" s="98"/>
      <c r="D9" s="97" t="s">
        <v>282</v>
      </c>
      <c r="E9" s="98"/>
    </row>
    <row r="10" spans="1:5" x14ac:dyDescent="0.25">
      <c r="A10" s="4"/>
      <c r="D10" s="5"/>
      <c r="E10" s="6"/>
    </row>
    <row r="11" spans="1:5" ht="18" customHeight="1" x14ac:dyDescent="0.25">
      <c r="A11" s="189" t="s">
        <v>10</v>
      </c>
      <c r="B11" s="189"/>
      <c r="C11" s="189"/>
      <c r="D11" s="189"/>
      <c r="E11" s="189"/>
    </row>
    <row r="12" spans="1:5" x14ac:dyDescent="0.25">
      <c r="C12" s="116" t="s">
        <v>159</v>
      </c>
    </row>
    <row r="13" spans="1:5" x14ac:dyDescent="0.25">
      <c r="C13" s="7"/>
    </row>
    <row r="14" spans="1:5" ht="35.25" customHeight="1" x14ac:dyDescent="0.25">
      <c r="A14" s="190" t="s">
        <v>283</v>
      </c>
      <c r="B14" s="190"/>
      <c r="C14" s="190"/>
      <c r="D14" s="190"/>
      <c r="E14" s="190"/>
    </row>
    <row r="15" spans="1:5" x14ac:dyDescent="0.25">
      <c r="A15" s="8"/>
      <c r="B15" s="8"/>
      <c r="C15" s="8"/>
      <c r="D15" s="8"/>
      <c r="E15" s="8"/>
    </row>
    <row r="16" spans="1:5" ht="95.25" customHeight="1" x14ac:dyDescent="0.25">
      <c r="A16" s="9" t="s">
        <v>12</v>
      </c>
      <c r="B16" s="9" t="s">
        <v>13</v>
      </c>
      <c r="C16" s="9" t="s">
        <v>14</v>
      </c>
      <c r="D16" s="9" t="s">
        <v>15</v>
      </c>
      <c r="E16" s="9" t="s">
        <v>16</v>
      </c>
    </row>
    <row r="17" spans="1:5" ht="123.75" customHeight="1" x14ac:dyDescent="0.25">
      <c r="A17" s="10">
        <v>1</v>
      </c>
      <c r="B17" s="11" t="s">
        <v>284</v>
      </c>
      <c r="C17" s="11" t="s">
        <v>285</v>
      </c>
      <c r="D17" s="12" t="s">
        <v>286</v>
      </c>
      <c r="E17" s="13">
        <f>2447.89*2.4*1.2*0.805*3.83</f>
        <v>21735.970714079998</v>
      </c>
    </row>
    <row r="18" spans="1:5" ht="57.75" customHeight="1" x14ac:dyDescent="0.25">
      <c r="A18" s="10">
        <v>2</v>
      </c>
      <c r="B18" s="117" t="s">
        <v>17</v>
      </c>
      <c r="C18" s="12" t="s">
        <v>18</v>
      </c>
      <c r="D18" s="12" t="s">
        <v>145</v>
      </c>
      <c r="E18" s="13">
        <f>800*1*0.5*3.83</f>
        <v>1532</v>
      </c>
    </row>
    <row r="19" spans="1:5" ht="48" customHeight="1" x14ac:dyDescent="0.25">
      <c r="A19" s="10">
        <v>3</v>
      </c>
      <c r="B19" s="12" t="s">
        <v>20</v>
      </c>
      <c r="C19" s="15" t="s">
        <v>21</v>
      </c>
      <c r="D19" s="16">
        <f>(E17+E18)*0.1</f>
        <v>2326.7970714079997</v>
      </c>
      <c r="E19" s="17">
        <f>D19</f>
        <v>2326.7970714079997</v>
      </c>
    </row>
    <row r="20" spans="1:5" ht="48" customHeight="1" x14ac:dyDescent="0.25">
      <c r="A20" s="10">
        <v>4</v>
      </c>
      <c r="B20" s="119" t="s">
        <v>80</v>
      </c>
      <c r="C20" s="12" t="s">
        <v>89</v>
      </c>
      <c r="D20" s="16"/>
      <c r="E20" s="17">
        <v>4166.66</v>
      </c>
    </row>
    <row r="21" spans="1:5" ht="48" customHeight="1" x14ac:dyDescent="0.25">
      <c r="A21" s="10">
        <v>5</v>
      </c>
      <c r="B21" s="119" t="s">
        <v>23</v>
      </c>
      <c r="C21" s="118"/>
      <c r="D21" s="16"/>
      <c r="E21" s="17">
        <v>21483</v>
      </c>
    </row>
    <row r="22" spans="1:5" x14ac:dyDescent="0.25">
      <c r="A22" s="28">
        <v>6</v>
      </c>
      <c r="B22" s="19" t="s">
        <v>24</v>
      </c>
      <c r="C22" s="15" t="s">
        <v>287</v>
      </c>
      <c r="D22" s="15"/>
      <c r="E22" s="17">
        <f>E19+E18+E17+E20+E21</f>
        <v>51244.427785487998</v>
      </c>
    </row>
    <row r="23" spans="1:5" x14ac:dyDescent="0.25">
      <c r="A23" s="28">
        <v>7</v>
      </c>
      <c r="B23" s="19" t="s">
        <v>249</v>
      </c>
      <c r="C23" s="15" t="s">
        <v>288</v>
      </c>
      <c r="D23" s="15"/>
      <c r="E23" s="17">
        <f>ROUND(E22*20%,2)</f>
        <v>10248.89</v>
      </c>
    </row>
    <row r="24" spans="1:5" x14ac:dyDescent="0.25">
      <c r="A24" s="28">
        <v>8</v>
      </c>
      <c r="B24" s="19" t="s">
        <v>26</v>
      </c>
      <c r="C24" s="15" t="s">
        <v>289</v>
      </c>
      <c r="D24" s="15"/>
      <c r="E24" s="17">
        <f>E22+E23</f>
        <v>61493.317785487998</v>
      </c>
    </row>
    <row r="25" spans="1:5" x14ac:dyDescent="0.25">
      <c r="A25" s="20"/>
      <c r="B25" s="21"/>
      <c r="C25" s="22"/>
      <c r="D25" s="22"/>
      <c r="E25" s="23"/>
    </row>
    <row r="26" spans="1:5" x14ac:dyDescent="0.25">
      <c r="A26" s="1" t="s">
        <v>2</v>
      </c>
    </row>
    <row r="27" spans="1:5" x14ac:dyDescent="0.25">
      <c r="A27" s="1" t="s">
        <v>27</v>
      </c>
    </row>
    <row r="28" spans="1:5" x14ac:dyDescent="0.25">
      <c r="A28" s="1" t="s">
        <v>31</v>
      </c>
    </row>
    <row r="29" spans="1:5" x14ac:dyDescent="0.25">
      <c r="A29" s="4" t="s">
        <v>28</v>
      </c>
    </row>
    <row r="30" spans="1:5" x14ac:dyDescent="0.25">
      <c r="A30" s="1" t="s">
        <v>260</v>
      </c>
    </row>
    <row r="34" spans="5:5" x14ac:dyDescent="0.25">
      <c r="E34" s="1" t="s">
        <v>30</v>
      </c>
    </row>
  </sheetData>
  <mergeCells count="3">
    <mergeCell ref="B1:D1"/>
    <mergeCell ref="A11:E11"/>
    <mergeCell ref="A14:E14"/>
  </mergeCells>
  <pageMargins left="0.19685039370078741" right="0.19685039370078741" top="0.19685039370078741" bottom="0.19685039370078741" header="0.51181102362204722" footer="0.51181102362204722"/>
  <pageSetup paperSize="9" orientation="portrait" r:id="rId1"/>
  <headerFooter alignWithMargins="0"/>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44"/>
  <sheetViews>
    <sheetView topLeftCell="A16" zoomScaleNormal="100" workbookViewId="0">
      <selection activeCell="I19" sqref="I19"/>
    </sheetView>
  </sheetViews>
  <sheetFormatPr defaultColWidth="11.5703125" defaultRowHeight="12.75" x14ac:dyDescent="0.2"/>
  <cols>
    <col min="1" max="1" width="3.7109375" style="50" customWidth="1"/>
    <col min="2" max="2" width="10.7109375" style="50" customWidth="1"/>
    <col min="3" max="3" width="10.28515625" style="50" customWidth="1"/>
    <col min="4" max="6" width="9.28515625" style="50" customWidth="1"/>
    <col min="7" max="7" width="19.42578125" style="50" customWidth="1"/>
    <col min="8" max="8" width="16.5703125" style="50" customWidth="1"/>
    <col min="9" max="9" width="13.5703125" style="50" customWidth="1"/>
    <col min="10" max="10" width="19.7109375" style="51" customWidth="1"/>
    <col min="11" max="256" width="11.5703125" style="51"/>
    <col min="257" max="257" width="3.7109375" style="51" customWidth="1"/>
    <col min="258" max="259" width="10.7109375" style="51" customWidth="1"/>
    <col min="260" max="263" width="9.28515625" style="51" customWidth="1"/>
    <col min="264" max="264" width="14.5703125" style="51" customWidth="1"/>
    <col min="265" max="265" width="17.7109375" style="51" customWidth="1"/>
    <col min="266" max="266" width="19.7109375" style="51" customWidth="1"/>
    <col min="267" max="512" width="11.5703125" style="51"/>
    <col min="513" max="513" width="3.7109375" style="51" customWidth="1"/>
    <col min="514" max="515" width="10.7109375" style="51" customWidth="1"/>
    <col min="516" max="519" width="9.28515625" style="51" customWidth="1"/>
    <col min="520" max="520" width="14.5703125" style="51" customWidth="1"/>
    <col min="521" max="521" width="17.7109375" style="51" customWidth="1"/>
    <col min="522" max="522" width="19.7109375" style="51" customWidth="1"/>
    <col min="523" max="768" width="11.5703125" style="51"/>
    <col min="769" max="769" width="3.7109375" style="51" customWidth="1"/>
    <col min="770" max="771" width="10.7109375" style="51" customWidth="1"/>
    <col min="772" max="775" width="9.28515625" style="51" customWidth="1"/>
    <col min="776" max="776" width="14.5703125" style="51" customWidth="1"/>
    <col min="777" max="777" width="17.7109375" style="51" customWidth="1"/>
    <col min="778" max="778" width="19.7109375" style="51" customWidth="1"/>
    <col min="779" max="1024" width="11.5703125" style="51"/>
    <col min="1025" max="1025" width="3.7109375" style="51" customWidth="1"/>
    <col min="1026" max="1027" width="10.7109375" style="51" customWidth="1"/>
    <col min="1028" max="1031" width="9.28515625" style="51" customWidth="1"/>
    <col min="1032" max="1032" width="14.5703125" style="51" customWidth="1"/>
    <col min="1033" max="1033" width="17.7109375" style="51" customWidth="1"/>
    <col min="1034" max="1034" width="19.7109375" style="51" customWidth="1"/>
    <col min="1035" max="1280" width="11.5703125" style="51"/>
    <col min="1281" max="1281" width="3.7109375" style="51" customWidth="1"/>
    <col min="1282" max="1283" width="10.7109375" style="51" customWidth="1"/>
    <col min="1284" max="1287" width="9.28515625" style="51" customWidth="1"/>
    <col min="1288" max="1288" width="14.5703125" style="51" customWidth="1"/>
    <col min="1289" max="1289" width="17.7109375" style="51" customWidth="1"/>
    <col min="1290" max="1290" width="19.7109375" style="51" customWidth="1"/>
    <col min="1291" max="1536" width="11.5703125" style="51"/>
    <col min="1537" max="1537" width="3.7109375" style="51" customWidth="1"/>
    <col min="1538" max="1539" width="10.7109375" style="51" customWidth="1"/>
    <col min="1540" max="1543" width="9.28515625" style="51" customWidth="1"/>
    <col min="1544" max="1544" width="14.5703125" style="51" customWidth="1"/>
    <col min="1545" max="1545" width="17.7109375" style="51" customWidth="1"/>
    <col min="1546" max="1546" width="19.7109375" style="51" customWidth="1"/>
    <col min="1547" max="1792" width="11.5703125" style="51"/>
    <col min="1793" max="1793" width="3.7109375" style="51" customWidth="1"/>
    <col min="1794" max="1795" width="10.7109375" style="51" customWidth="1"/>
    <col min="1796" max="1799" width="9.28515625" style="51" customWidth="1"/>
    <col min="1800" max="1800" width="14.5703125" style="51" customWidth="1"/>
    <col min="1801" max="1801" width="17.7109375" style="51" customWidth="1"/>
    <col min="1802" max="1802" width="19.7109375" style="51" customWidth="1"/>
    <col min="1803" max="2048" width="11.5703125" style="51"/>
    <col min="2049" max="2049" width="3.7109375" style="51" customWidth="1"/>
    <col min="2050" max="2051" width="10.7109375" style="51" customWidth="1"/>
    <col min="2052" max="2055" width="9.28515625" style="51" customWidth="1"/>
    <col min="2056" max="2056" width="14.5703125" style="51" customWidth="1"/>
    <col min="2057" max="2057" width="17.7109375" style="51" customWidth="1"/>
    <col min="2058" max="2058" width="19.7109375" style="51" customWidth="1"/>
    <col min="2059" max="2304" width="11.5703125" style="51"/>
    <col min="2305" max="2305" width="3.7109375" style="51" customWidth="1"/>
    <col min="2306" max="2307" width="10.7109375" style="51" customWidth="1"/>
    <col min="2308" max="2311" width="9.28515625" style="51" customWidth="1"/>
    <col min="2312" max="2312" width="14.5703125" style="51" customWidth="1"/>
    <col min="2313" max="2313" width="17.7109375" style="51" customWidth="1"/>
    <col min="2314" max="2314" width="19.7109375" style="51" customWidth="1"/>
    <col min="2315" max="2560" width="11.5703125" style="51"/>
    <col min="2561" max="2561" width="3.7109375" style="51" customWidth="1"/>
    <col min="2562" max="2563" width="10.7109375" style="51" customWidth="1"/>
    <col min="2564" max="2567" width="9.28515625" style="51" customWidth="1"/>
    <col min="2568" max="2568" width="14.5703125" style="51" customWidth="1"/>
    <col min="2569" max="2569" width="17.7109375" style="51" customWidth="1"/>
    <col min="2570" max="2570" width="19.7109375" style="51" customWidth="1"/>
    <col min="2571" max="2816" width="11.5703125" style="51"/>
    <col min="2817" max="2817" width="3.7109375" style="51" customWidth="1"/>
    <col min="2818" max="2819" width="10.7109375" style="51" customWidth="1"/>
    <col min="2820" max="2823" width="9.28515625" style="51" customWidth="1"/>
    <col min="2824" max="2824" width="14.5703125" style="51" customWidth="1"/>
    <col min="2825" max="2825" width="17.7109375" style="51" customWidth="1"/>
    <col min="2826" max="2826" width="19.7109375" style="51" customWidth="1"/>
    <col min="2827" max="3072" width="11.5703125" style="51"/>
    <col min="3073" max="3073" width="3.7109375" style="51" customWidth="1"/>
    <col min="3074" max="3075" width="10.7109375" style="51" customWidth="1"/>
    <col min="3076" max="3079" width="9.28515625" style="51" customWidth="1"/>
    <col min="3080" max="3080" width="14.5703125" style="51" customWidth="1"/>
    <col min="3081" max="3081" width="17.7109375" style="51" customWidth="1"/>
    <col min="3082" max="3082" width="19.7109375" style="51" customWidth="1"/>
    <col min="3083" max="3328" width="11.5703125" style="51"/>
    <col min="3329" max="3329" width="3.7109375" style="51" customWidth="1"/>
    <col min="3330" max="3331" width="10.7109375" style="51" customWidth="1"/>
    <col min="3332" max="3335" width="9.28515625" style="51" customWidth="1"/>
    <col min="3336" max="3336" width="14.5703125" style="51" customWidth="1"/>
    <col min="3337" max="3337" width="17.7109375" style="51" customWidth="1"/>
    <col min="3338" max="3338" width="19.7109375" style="51" customWidth="1"/>
    <col min="3339" max="3584" width="11.5703125" style="51"/>
    <col min="3585" max="3585" width="3.7109375" style="51" customWidth="1"/>
    <col min="3586" max="3587" width="10.7109375" style="51" customWidth="1"/>
    <col min="3588" max="3591" width="9.28515625" style="51" customWidth="1"/>
    <col min="3592" max="3592" width="14.5703125" style="51" customWidth="1"/>
    <col min="3593" max="3593" width="17.7109375" style="51" customWidth="1"/>
    <col min="3594" max="3594" width="19.7109375" style="51" customWidth="1"/>
    <col min="3595" max="3840" width="11.5703125" style="51"/>
    <col min="3841" max="3841" width="3.7109375" style="51" customWidth="1"/>
    <col min="3842" max="3843" width="10.7109375" style="51" customWidth="1"/>
    <col min="3844" max="3847" width="9.28515625" style="51" customWidth="1"/>
    <col min="3848" max="3848" width="14.5703125" style="51" customWidth="1"/>
    <col min="3849" max="3849" width="17.7109375" style="51" customWidth="1"/>
    <col min="3850" max="3850" width="19.7109375" style="51" customWidth="1"/>
    <col min="3851" max="4096" width="11.5703125" style="51"/>
    <col min="4097" max="4097" width="3.7109375" style="51" customWidth="1"/>
    <col min="4098" max="4099" width="10.7109375" style="51" customWidth="1"/>
    <col min="4100" max="4103" width="9.28515625" style="51" customWidth="1"/>
    <col min="4104" max="4104" width="14.5703125" style="51" customWidth="1"/>
    <col min="4105" max="4105" width="17.7109375" style="51" customWidth="1"/>
    <col min="4106" max="4106" width="19.7109375" style="51" customWidth="1"/>
    <col min="4107" max="4352" width="11.5703125" style="51"/>
    <col min="4353" max="4353" width="3.7109375" style="51" customWidth="1"/>
    <col min="4354" max="4355" width="10.7109375" style="51" customWidth="1"/>
    <col min="4356" max="4359" width="9.28515625" style="51" customWidth="1"/>
    <col min="4360" max="4360" width="14.5703125" style="51" customWidth="1"/>
    <col min="4361" max="4361" width="17.7109375" style="51" customWidth="1"/>
    <col min="4362" max="4362" width="19.7109375" style="51" customWidth="1"/>
    <col min="4363" max="4608" width="11.5703125" style="51"/>
    <col min="4609" max="4609" width="3.7109375" style="51" customWidth="1"/>
    <col min="4610" max="4611" width="10.7109375" style="51" customWidth="1"/>
    <col min="4612" max="4615" width="9.28515625" style="51" customWidth="1"/>
    <col min="4616" max="4616" width="14.5703125" style="51" customWidth="1"/>
    <col min="4617" max="4617" width="17.7109375" style="51" customWidth="1"/>
    <col min="4618" max="4618" width="19.7109375" style="51" customWidth="1"/>
    <col min="4619" max="4864" width="11.5703125" style="51"/>
    <col min="4865" max="4865" width="3.7109375" style="51" customWidth="1"/>
    <col min="4866" max="4867" width="10.7109375" style="51" customWidth="1"/>
    <col min="4868" max="4871" width="9.28515625" style="51" customWidth="1"/>
    <col min="4872" max="4872" width="14.5703125" style="51" customWidth="1"/>
    <col min="4873" max="4873" width="17.7109375" style="51" customWidth="1"/>
    <col min="4874" max="4874" width="19.7109375" style="51" customWidth="1"/>
    <col min="4875" max="5120" width="11.5703125" style="51"/>
    <col min="5121" max="5121" width="3.7109375" style="51" customWidth="1"/>
    <col min="5122" max="5123" width="10.7109375" style="51" customWidth="1"/>
    <col min="5124" max="5127" width="9.28515625" style="51" customWidth="1"/>
    <col min="5128" max="5128" width="14.5703125" style="51" customWidth="1"/>
    <col min="5129" max="5129" width="17.7109375" style="51" customWidth="1"/>
    <col min="5130" max="5130" width="19.7109375" style="51" customWidth="1"/>
    <col min="5131" max="5376" width="11.5703125" style="51"/>
    <col min="5377" max="5377" width="3.7109375" style="51" customWidth="1"/>
    <col min="5378" max="5379" width="10.7109375" style="51" customWidth="1"/>
    <col min="5380" max="5383" width="9.28515625" style="51" customWidth="1"/>
    <col min="5384" max="5384" width="14.5703125" style="51" customWidth="1"/>
    <col min="5385" max="5385" width="17.7109375" style="51" customWidth="1"/>
    <col min="5386" max="5386" width="19.7109375" style="51" customWidth="1"/>
    <col min="5387" max="5632" width="11.5703125" style="51"/>
    <col min="5633" max="5633" width="3.7109375" style="51" customWidth="1"/>
    <col min="5634" max="5635" width="10.7109375" style="51" customWidth="1"/>
    <col min="5636" max="5639" width="9.28515625" style="51" customWidth="1"/>
    <col min="5640" max="5640" width="14.5703125" style="51" customWidth="1"/>
    <col min="5641" max="5641" width="17.7109375" style="51" customWidth="1"/>
    <col min="5642" max="5642" width="19.7109375" style="51" customWidth="1"/>
    <col min="5643" max="5888" width="11.5703125" style="51"/>
    <col min="5889" max="5889" width="3.7109375" style="51" customWidth="1"/>
    <col min="5890" max="5891" width="10.7109375" style="51" customWidth="1"/>
    <col min="5892" max="5895" width="9.28515625" style="51" customWidth="1"/>
    <col min="5896" max="5896" width="14.5703125" style="51" customWidth="1"/>
    <col min="5897" max="5897" width="17.7109375" style="51" customWidth="1"/>
    <col min="5898" max="5898" width="19.7109375" style="51" customWidth="1"/>
    <col min="5899" max="6144" width="11.5703125" style="51"/>
    <col min="6145" max="6145" width="3.7109375" style="51" customWidth="1"/>
    <col min="6146" max="6147" width="10.7109375" style="51" customWidth="1"/>
    <col min="6148" max="6151" width="9.28515625" style="51" customWidth="1"/>
    <col min="6152" max="6152" width="14.5703125" style="51" customWidth="1"/>
    <col min="6153" max="6153" width="17.7109375" style="51" customWidth="1"/>
    <col min="6154" max="6154" width="19.7109375" style="51" customWidth="1"/>
    <col min="6155" max="6400" width="11.5703125" style="51"/>
    <col min="6401" max="6401" width="3.7109375" style="51" customWidth="1"/>
    <col min="6402" max="6403" width="10.7109375" style="51" customWidth="1"/>
    <col min="6404" max="6407" width="9.28515625" style="51" customWidth="1"/>
    <col min="6408" max="6408" width="14.5703125" style="51" customWidth="1"/>
    <col min="6409" max="6409" width="17.7109375" style="51" customWidth="1"/>
    <col min="6410" max="6410" width="19.7109375" style="51" customWidth="1"/>
    <col min="6411" max="6656" width="11.5703125" style="51"/>
    <col min="6657" max="6657" width="3.7109375" style="51" customWidth="1"/>
    <col min="6658" max="6659" width="10.7109375" style="51" customWidth="1"/>
    <col min="6660" max="6663" width="9.28515625" style="51" customWidth="1"/>
    <col min="6664" max="6664" width="14.5703125" style="51" customWidth="1"/>
    <col min="6665" max="6665" width="17.7109375" style="51" customWidth="1"/>
    <col min="6666" max="6666" width="19.7109375" style="51" customWidth="1"/>
    <col min="6667" max="6912" width="11.5703125" style="51"/>
    <col min="6913" max="6913" width="3.7109375" style="51" customWidth="1"/>
    <col min="6914" max="6915" width="10.7109375" style="51" customWidth="1"/>
    <col min="6916" max="6919" width="9.28515625" style="51" customWidth="1"/>
    <col min="6920" max="6920" width="14.5703125" style="51" customWidth="1"/>
    <col min="6921" max="6921" width="17.7109375" style="51" customWidth="1"/>
    <col min="6922" max="6922" width="19.7109375" style="51" customWidth="1"/>
    <col min="6923" max="7168" width="11.5703125" style="51"/>
    <col min="7169" max="7169" width="3.7109375" style="51" customWidth="1"/>
    <col min="7170" max="7171" width="10.7109375" style="51" customWidth="1"/>
    <col min="7172" max="7175" width="9.28515625" style="51" customWidth="1"/>
    <col min="7176" max="7176" width="14.5703125" style="51" customWidth="1"/>
    <col min="7177" max="7177" width="17.7109375" style="51" customWidth="1"/>
    <col min="7178" max="7178" width="19.7109375" style="51" customWidth="1"/>
    <col min="7179" max="7424" width="11.5703125" style="51"/>
    <col min="7425" max="7425" width="3.7109375" style="51" customWidth="1"/>
    <col min="7426" max="7427" width="10.7109375" style="51" customWidth="1"/>
    <col min="7428" max="7431" width="9.28515625" style="51" customWidth="1"/>
    <col min="7432" max="7432" width="14.5703125" style="51" customWidth="1"/>
    <col min="7433" max="7433" width="17.7109375" style="51" customWidth="1"/>
    <col min="7434" max="7434" width="19.7109375" style="51" customWidth="1"/>
    <col min="7435" max="7680" width="11.5703125" style="51"/>
    <col min="7681" max="7681" width="3.7109375" style="51" customWidth="1"/>
    <col min="7682" max="7683" width="10.7109375" style="51" customWidth="1"/>
    <col min="7684" max="7687" width="9.28515625" style="51" customWidth="1"/>
    <col min="7688" max="7688" width="14.5703125" style="51" customWidth="1"/>
    <col min="7689" max="7689" width="17.7109375" style="51" customWidth="1"/>
    <col min="7690" max="7690" width="19.7109375" style="51" customWidth="1"/>
    <col min="7691" max="7936" width="11.5703125" style="51"/>
    <col min="7937" max="7937" width="3.7109375" style="51" customWidth="1"/>
    <col min="7938" max="7939" width="10.7109375" style="51" customWidth="1"/>
    <col min="7940" max="7943" width="9.28515625" style="51" customWidth="1"/>
    <col min="7944" max="7944" width="14.5703125" style="51" customWidth="1"/>
    <col min="7945" max="7945" width="17.7109375" style="51" customWidth="1"/>
    <col min="7946" max="7946" width="19.7109375" style="51" customWidth="1"/>
    <col min="7947" max="8192" width="11.5703125" style="51"/>
    <col min="8193" max="8193" width="3.7109375" style="51" customWidth="1"/>
    <col min="8194" max="8195" width="10.7109375" style="51" customWidth="1"/>
    <col min="8196" max="8199" width="9.28515625" style="51" customWidth="1"/>
    <col min="8200" max="8200" width="14.5703125" style="51" customWidth="1"/>
    <col min="8201" max="8201" width="17.7109375" style="51" customWidth="1"/>
    <col min="8202" max="8202" width="19.7109375" style="51" customWidth="1"/>
    <col min="8203" max="8448" width="11.5703125" style="51"/>
    <col min="8449" max="8449" width="3.7109375" style="51" customWidth="1"/>
    <col min="8450" max="8451" width="10.7109375" style="51" customWidth="1"/>
    <col min="8452" max="8455" width="9.28515625" style="51" customWidth="1"/>
    <col min="8456" max="8456" width="14.5703125" style="51" customWidth="1"/>
    <col min="8457" max="8457" width="17.7109375" style="51" customWidth="1"/>
    <col min="8458" max="8458" width="19.7109375" style="51" customWidth="1"/>
    <col min="8459" max="8704" width="11.5703125" style="51"/>
    <col min="8705" max="8705" width="3.7109375" style="51" customWidth="1"/>
    <col min="8706" max="8707" width="10.7109375" style="51" customWidth="1"/>
    <col min="8708" max="8711" width="9.28515625" style="51" customWidth="1"/>
    <col min="8712" max="8712" width="14.5703125" style="51" customWidth="1"/>
    <col min="8713" max="8713" width="17.7109375" style="51" customWidth="1"/>
    <col min="8714" max="8714" width="19.7109375" style="51" customWidth="1"/>
    <col min="8715" max="8960" width="11.5703125" style="51"/>
    <col min="8961" max="8961" width="3.7109375" style="51" customWidth="1"/>
    <col min="8962" max="8963" width="10.7109375" style="51" customWidth="1"/>
    <col min="8964" max="8967" width="9.28515625" style="51" customWidth="1"/>
    <col min="8968" max="8968" width="14.5703125" style="51" customWidth="1"/>
    <col min="8969" max="8969" width="17.7109375" style="51" customWidth="1"/>
    <col min="8970" max="8970" width="19.7109375" style="51" customWidth="1"/>
    <col min="8971" max="9216" width="11.5703125" style="51"/>
    <col min="9217" max="9217" width="3.7109375" style="51" customWidth="1"/>
    <col min="9218" max="9219" width="10.7109375" style="51" customWidth="1"/>
    <col min="9220" max="9223" width="9.28515625" style="51" customWidth="1"/>
    <col min="9224" max="9224" width="14.5703125" style="51" customWidth="1"/>
    <col min="9225" max="9225" width="17.7109375" style="51" customWidth="1"/>
    <col min="9226" max="9226" width="19.7109375" style="51" customWidth="1"/>
    <col min="9227" max="9472" width="11.5703125" style="51"/>
    <col min="9473" max="9473" width="3.7109375" style="51" customWidth="1"/>
    <col min="9474" max="9475" width="10.7109375" style="51" customWidth="1"/>
    <col min="9476" max="9479" width="9.28515625" style="51" customWidth="1"/>
    <col min="9480" max="9480" width="14.5703125" style="51" customWidth="1"/>
    <col min="9481" max="9481" width="17.7109375" style="51" customWidth="1"/>
    <col min="9482" max="9482" width="19.7109375" style="51" customWidth="1"/>
    <col min="9483" max="9728" width="11.5703125" style="51"/>
    <col min="9729" max="9729" width="3.7109375" style="51" customWidth="1"/>
    <col min="9730" max="9731" width="10.7109375" style="51" customWidth="1"/>
    <col min="9732" max="9735" width="9.28515625" style="51" customWidth="1"/>
    <col min="9736" max="9736" width="14.5703125" style="51" customWidth="1"/>
    <col min="9737" max="9737" width="17.7109375" style="51" customWidth="1"/>
    <col min="9738" max="9738" width="19.7109375" style="51" customWidth="1"/>
    <col min="9739" max="9984" width="11.5703125" style="51"/>
    <col min="9985" max="9985" width="3.7109375" style="51" customWidth="1"/>
    <col min="9986" max="9987" width="10.7109375" style="51" customWidth="1"/>
    <col min="9988" max="9991" width="9.28515625" style="51" customWidth="1"/>
    <col min="9992" max="9992" width="14.5703125" style="51" customWidth="1"/>
    <col min="9993" max="9993" width="17.7109375" style="51" customWidth="1"/>
    <col min="9994" max="9994" width="19.7109375" style="51" customWidth="1"/>
    <col min="9995" max="10240" width="11.5703125" style="51"/>
    <col min="10241" max="10241" width="3.7109375" style="51" customWidth="1"/>
    <col min="10242" max="10243" width="10.7109375" style="51" customWidth="1"/>
    <col min="10244" max="10247" width="9.28515625" style="51" customWidth="1"/>
    <col min="10248" max="10248" width="14.5703125" style="51" customWidth="1"/>
    <col min="10249" max="10249" width="17.7109375" style="51" customWidth="1"/>
    <col min="10250" max="10250" width="19.7109375" style="51" customWidth="1"/>
    <col min="10251" max="10496" width="11.5703125" style="51"/>
    <col min="10497" max="10497" width="3.7109375" style="51" customWidth="1"/>
    <col min="10498" max="10499" width="10.7109375" style="51" customWidth="1"/>
    <col min="10500" max="10503" width="9.28515625" style="51" customWidth="1"/>
    <col min="10504" max="10504" width="14.5703125" style="51" customWidth="1"/>
    <col min="10505" max="10505" width="17.7109375" style="51" customWidth="1"/>
    <col min="10506" max="10506" width="19.7109375" style="51" customWidth="1"/>
    <col min="10507" max="10752" width="11.5703125" style="51"/>
    <col min="10753" max="10753" width="3.7109375" style="51" customWidth="1"/>
    <col min="10754" max="10755" width="10.7109375" style="51" customWidth="1"/>
    <col min="10756" max="10759" width="9.28515625" style="51" customWidth="1"/>
    <col min="10760" max="10760" width="14.5703125" style="51" customWidth="1"/>
    <col min="10761" max="10761" width="17.7109375" style="51" customWidth="1"/>
    <col min="10762" max="10762" width="19.7109375" style="51" customWidth="1"/>
    <col min="10763" max="11008" width="11.5703125" style="51"/>
    <col min="11009" max="11009" width="3.7109375" style="51" customWidth="1"/>
    <col min="11010" max="11011" width="10.7109375" style="51" customWidth="1"/>
    <col min="11012" max="11015" width="9.28515625" style="51" customWidth="1"/>
    <col min="11016" max="11016" width="14.5703125" style="51" customWidth="1"/>
    <col min="11017" max="11017" width="17.7109375" style="51" customWidth="1"/>
    <col min="11018" max="11018" width="19.7109375" style="51" customWidth="1"/>
    <col min="11019" max="11264" width="11.5703125" style="51"/>
    <col min="11265" max="11265" width="3.7109375" style="51" customWidth="1"/>
    <col min="11266" max="11267" width="10.7109375" style="51" customWidth="1"/>
    <col min="11268" max="11271" width="9.28515625" style="51" customWidth="1"/>
    <col min="11272" max="11272" width="14.5703125" style="51" customWidth="1"/>
    <col min="11273" max="11273" width="17.7109375" style="51" customWidth="1"/>
    <col min="11274" max="11274" width="19.7109375" style="51" customWidth="1"/>
    <col min="11275" max="11520" width="11.5703125" style="51"/>
    <col min="11521" max="11521" width="3.7109375" style="51" customWidth="1"/>
    <col min="11522" max="11523" width="10.7109375" style="51" customWidth="1"/>
    <col min="11524" max="11527" width="9.28515625" style="51" customWidth="1"/>
    <col min="11528" max="11528" width="14.5703125" style="51" customWidth="1"/>
    <col min="11529" max="11529" width="17.7109375" style="51" customWidth="1"/>
    <col min="11530" max="11530" width="19.7109375" style="51" customWidth="1"/>
    <col min="11531" max="11776" width="11.5703125" style="51"/>
    <col min="11777" max="11777" width="3.7109375" style="51" customWidth="1"/>
    <col min="11778" max="11779" width="10.7109375" style="51" customWidth="1"/>
    <col min="11780" max="11783" width="9.28515625" style="51" customWidth="1"/>
    <col min="11784" max="11784" width="14.5703125" style="51" customWidth="1"/>
    <col min="11785" max="11785" width="17.7109375" style="51" customWidth="1"/>
    <col min="11786" max="11786" width="19.7109375" style="51" customWidth="1"/>
    <col min="11787" max="12032" width="11.5703125" style="51"/>
    <col min="12033" max="12033" width="3.7109375" style="51" customWidth="1"/>
    <col min="12034" max="12035" width="10.7109375" style="51" customWidth="1"/>
    <col min="12036" max="12039" width="9.28515625" style="51" customWidth="1"/>
    <col min="12040" max="12040" width="14.5703125" style="51" customWidth="1"/>
    <col min="12041" max="12041" width="17.7109375" style="51" customWidth="1"/>
    <col min="12042" max="12042" width="19.7109375" style="51" customWidth="1"/>
    <col min="12043" max="12288" width="11.5703125" style="51"/>
    <col min="12289" max="12289" width="3.7109375" style="51" customWidth="1"/>
    <col min="12290" max="12291" width="10.7109375" style="51" customWidth="1"/>
    <col min="12292" max="12295" width="9.28515625" style="51" customWidth="1"/>
    <col min="12296" max="12296" width="14.5703125" style="51" customWidth="1"/>
    <col min="12297" max="12297" width="17.7109375" style="51" customWidth="1"/>
    <col min="12298" max="12298" width="19.7109375" style="51" customWidth="1"/>
    <col min="12299" max="12544" width="11.5703125" style="51"/>
    <col min="12545" max="12545" width="3.7109375" style="51" customWidth="1"/>
    <col min="12546" max="12547" width="10.7109375" style="51" customWidth="1"/>
    <col min="12548" max="12551" width="9.28515625" style="51" customWidth="1"/>
    <col min="12552" max="12552" width="14.5703125" style="51" customWidth="1"/>
    <col min="12553" max="12553" width="17.7109375" style="51" customWidth="1"/>
    <col min="12554" max="12554" width="19.7109375" style="51" customWidth="1"/>
    <col min="12555" max="12800" width="11.5703125" style="51"/>
    <col min="12801" max="12801" width="3.7109375" style="51" customWidth="1"/>
    <col min="12802" max="12803" width="10.7109375" style="51" customWidth="1"/>
    <col min="12804" max="12807" width="9.28515625" style="51" customWidth="1"/>
    <col min="12808" max="12808" width="14.5703125" style="51" customWidth="1"/>
    <col min="12809" max="12809" width="17.7109375" style="51" customWidth="1"/>
    <col min="12810" max="12810" width="19.7109375" style="51" customWidth="1"/>
    <col min="12811" max="13056" width="11.5703125" style="51"/>
    <col min="13057" max="13057" width="3.7109375" style="51" customWidth="1"/>
    <col min="13058" max="13059" width="10.7109375" style="51" customWidth="1"/>
    <col min="13060" max="13063" width="9.28515625" style="51" customWidth="1"/>
    <col min="13064" max="13064" width="14.5703125" style="51" customWidth="1"/>
    <col min="13065" max="13065" width="17.7109375" style="51" customWidth="1"/>
    <col min="13066" max="13066" width="19.7109375" style="51" customWidth="1"/>
    <col min="13067" max="13312" width="11.5703125" style="51"/>
    <col min="13313" max="13313" width="3.7109375" style="51" customWidth="1"/>
    <col min="13314" max="13315" width="10.7109375" style="51" customWidth="1"/>
    <col min="13316" max="13319" width="9.28515625" style="51" customWidth="1"/>
    <col min="13320" max="13320" width="14.5703125" style="51" customWidth="1"/>
    <col min="13321" max="13321" width="17.7109375" style="51" customWidth="1"/>
    <col min="13322" max="13322" width="19.7109375" style="51" customWidth="1"/>
    <col min="13323" max="13568" width="11.5703125" style="51"/>
    <col min="13569" max="13569" width="3.7109375" style="51" customWidth="1"/>
    <col min="13570" max="13571" width="10.7109375" style="51" customWidth="1"/>
    <col min="13572" max="13575" width="9.28515625" style="51" customWidth="1"/>
    <col min="13576" max="13576" width="14.5703125" style="51" customWidth="1"/>
    <col min="13577" max="13577" width="17.7109375" style="51" customWidth="1"/>
    <col min="13578" max="13578" width="19.7109375" style="51" customWidth="1"/>
    <col min="13579" max="13824" width="11.5703125" style="51"/>
    <col min="13825" max="13825" width="3.7109375" style="51" customWidth="1"/>
    <col min="13826" max="13827" width="10.7109375" style="51" customWidth="1"/>
    <col min="13828" max="13831" width="9.28515625" style="51" customWidth="1"/>
    <col min="13832" max="13832" width="14.5703125" style="51" customWidth="1"/>
    <col min="13833" max="13833" width="17.7109375" style="51" customWidth="1"/>
    <col min="13834" max="13834" width="19.7109375" style="51" customWidth="1"/>
    <col min="13835" max="14080" width="11.5703125" style="51"/>
    <col min="14081" max="14081" width="3.7109375" style="51" customWidth="1"/>
    <col min="14082" max="14083" width="10.7109375" style="51" customWidth="1"/>
    <col min="14084" max="14087" width="9.28515625" style="51" customWidth="1"/>
    <col min="14088" max="14088" width="14.5703125" style="51" customWidth="1"/>
    <col min="14089" max="14089" width="17.7109375" style="51" customWidth="1"/>
    <col min="14090" max="14090" width="19.7109375" style="51" customWidth="1"/>
    <col min="14091" max="14336" width="11.5703125" style="51"/>
    <col min="14337" max="14337" width="3.7109375" style="51" customWidth="1"/>
    <col min="14338" max="14339" width="10.7109375" style="51" customWidth="1"/>
    <col min="14340" max="14343" width="9.28515625" style="51" customWidth="1"/>
    <col min="14344" max="14344" width="14.5703125" style="51" customWidth="1"/>
    <col min="14345" max="14345" width="17.7109375" style="51" customWidth="1"/>
    <col min="14346" max="14346" width="19.7109375" style="51" customWidth="1"/>
    <col min="14347" max="14592" width="11.5703125" style="51"/>
    <col min="14593" max="14593" width="3.7109375" style="51" customWidth="1"/>
    <col min="14594" max="14595" width="10.7109375" style="51" customWidth="1"/>
    <col min="14596" max="14599" width="9.28515625" style="51" customWidth="1"/>
    <col min="14600" max="14600" width="14.5703125" style="51" customWidth="1"/>
    <col min="14601" max="14601" width="17.7109375" style="51" customWidth="1"/>
    <col min="14602" max="14602" width="19.7109375" style="51" customWidth="1"/>
    <col min="14603" max="14848" width="11.5703125" style="51"/>
    <col min="14849" max="14849" width="3.7109375" style="51" customWidth="1"/>
    <col min="14850" max="14851" width="10.7109375" style="51" customWidth="1"/>
    <col min="14852" max="14855" width="9.28515625" style="51" customWidth="1"/>
    <col min="14856" max="14856" width="14.5703125" style="51" customWidth="1"/>
    <col min="14857" max="14857" width="17.7109375" style="51" customWidth="1"/>
    <col min="14858" max="14858" width="19.7109375" style="51" customWidth="1"/>
    <col min="14859" max="15104" width="11.5703125" style="51"/>
    <col min="15105" max="15105" width="3.7109375" style="51" customWidth="1"/>
    <col min="15106" max="15107" width="10.7109375" style="51" customWidth="1"/>
    <col min="15108" max="15111" width="9.28515625" style="51" customWidth="1"/>
    <col min="15112" max="15112" width="14.5703125" style="51" customWidth="1"/>
    <col min="15113" max="15113" width="17.7109375" style="51" customWidth="1"/>
    <col min="15114" max="15114" width="19.7109375" style="51" customWidth="1"/>
    <col min="15115" max="15360" width="11.5703125" style="51"/>
    <col min="15361" max="15361" width="3.7109375" style="51" customWidth="1"/>
    <col min="15362" max="15363" width="10.7109375" style="51" customWidth="1"/>
    <col min="15364" max="15367" width="9.28515625" style="51" customWidth="1"/>
    <col min="15368" max="15368" width="14.5703125" style="51" customWidth="1"/>
    <col min="15369" max="15369" width="17.7109375" style="51" customWidth="1"/>
    <col min="15370" max="15370" width="19.7109375" style="51" customWidth="1"/>
    <col min="15371" max="15616" width="11.5703125" style="51"/>
    <col min="15617" max="15617" width="3.7109375" style="51" customWidth="1"/>
    <col min="15618" max="15619" width="10.7109375" style="51" customWidth="1"/>
    <col min="15620" max="15623" width="9.28515625" style="51" customWidth="1"/>
    <col min="15624" max="15624" width="14.5703125" style="51" customWidth="1"/>
    <col min="15625" max="15625" width="17.7109375" style="51" customWidth="1"/>
    <col min="15626" max="15626" width="19.7109375" style="51" customWidth="1"/>
    <col min="15627" max="15872" width="11.5703125" style="51"/>
    <col min="15873" max="15873" width="3.7109375" style="51" customWidth="1"/>
    <col min="15874" max="15875" width="10.7109375" style="51" customWidth="1"/>
    <col min="15876" max="15879" width="9.28515625" style="51" customWidth="1"/>
    <col min="15880" max="15880" width="14.5703125" style="51" customWidth="1"/>
    <col min="15881" max="15881" width="17.7109375" style="51" customWidth="1"/>
    <col min="15882" max="15882" width="19.7109375" style="51" customWidth="1"/>
    <col min="15883" max="16128" width="11.5703125" style="51"/>
    <col min="16129" max="16129" width="3.7109375" style="51" customWidth="1"/>
    <col min="16130" max="16131" width="10.7109375" style="51" customWidth="1"/>
    <col min="16132" max="16135" width="9.28515625" style="51" customWidth="1"/>
    <col min="16136" max="16136" width="14.5703125" style="51" customWidth="1"/>
    <col min="16137" max="16137" width="17.7109375" style="51" customWidth="1"/>
    <col min="16138" max="16138" width="19.7109375" style="51" customWidth="1"/>
    <col min="16139" max="16384" width="11.5703125" style="51"/>
  </cols>
  <sheetData>
    <row r="1" spans="1:256" ht="12.75" customHeight="1" x14ac:dyDescent="0.2">
      <c r="C1" s="199" t="s">
        <v>295</v>
      </c>
      <c r="D1" s="199"/>
      <c r="E1" s="199"/>
      <c r="F1" s="199"/>
      <c r="G1" s="199"/>
      <c r="H1" s="199"/>
      <c r="I1" s="199"/>
    </row>
    <row r="2" spans="1:256" x14ac:dyDescent="0.2">
      <c r="F2" s="51"/>
      <c r="G2" s="51"/>
      <c r="H2" s="51"/>
      <c r="I2" s="51"/>
    </row>
    <row r="3" spans="1:256" x14ac:dyDescent="0.2">
      <c r="F3" s="51"/>
      <c r="G3" s="51"/>
      <c r="H3" s="51"/>
      <c r="I3" s="51"/>
    </row>
    <row r="4" spans="1:256" s="52" customFormat="1" ht="15.75" x14ac:dyDescent="0.25">
      <c r="A4" s="92" t="s">
        <v>230</v>
      </c>
      <c r="B4" s="93"/>
      <c r="C4" s="94"/>
      <c r="G4" s="92" t="s">
        <v>231</v>
      </c>
      <c r="H4"/>
    </row>
    <row r="5" spans="1:256" s="52" customFormat="1" ht="15.75" x14ac:dyDescent="0.25">
      <c r="A5" s="95" t="s">
        <v>232</v>
      </c>
      <c r="B5" s="96"/>
      <c r="C5" s="94"/>
      <c r="G5" s="95" t="s">
        <v>233</v>
      </c>
      <c r="H5"/>
    </row>
    <row r="6" spans="1:256" s="52" customFormat="1" ht="15.75" x14ac:dyDescent="0.25">
      <c r="A6" s="97" t="s">
        <v>4</v>
      </c>
      <c r="B6" s="98"/>
      <c r="C6" s="20"/>
      <c r="G6" s="97" t="s">
        <v>183</v>
      </c>
      <c r="H6" s="99"/>
    </row>
    <row r="7" spans="1:256" s="52" customFormat="1" ht="15.75" x14ac:dyDescent="0.25">
      <c r="A7" s="97" t="s">
        <v>235</v>
      </c>
      <c r="B7" s="98"/>
      <c r="C7" s="100"/>
      <c r="G7" s="97" t="s">
        <v>5</v>
      </c>
      <c r="H7" s="101"/>
    </row>
    <row r="8" spans="1:256" s="52" customFormat="1" ht="15.75" x14ac:dyDescent="0.25">
      <c r="A8"/>
      <c r="B8" s="102"/>
      <c r="C8"/>
      <c r="G8" s="97"/>
      <c r="H8" s="99"/>
    </row>
    <row r="9" spans="1:256" s="52" customFormat="1" ht="15.75" x14ac:dyDescent="0.25">
      <c r="A9" s="97" t="s">
        <v>236</v>
      </c>
      <c r="B9" s="98"/>
      <c r="C9" s="1"/>
      <c r="G9" s="97" t="s">
        <v>237</v>
      </c>
      <c r="H9" s="99"/>
    </row>
    <row r="10" spans="1:256" s="52" customFormat="1" ht="15.75" x14ac:dyDescent="0.25">
      <c r="A10" s="97" t="s">
        <v>296</v>
      </c>
      <c r="B10" s="98"/>
      <c r="C10" s="1"/>
      <c r="G10" s="97" t="s">
        <v>296</v>
      </c>
      <c r="H10" s="98"/>
      <c r="I10" s="54"/>
    </row>
    <row r="11" spans="1:256" s="52" customFormat="1" ht="11.25" customHeight="1" x14ac:dyDescent="0.25">
      <c r="A11" s="2"/>
      <c r="D11" s="53"/>
      <c r="E11" s="54"/>
    </row>
    <row r="12" spans="1:256" ht="15.75" x14ac:dyDescent="0.2">
      <c r="A12" s="200" t="s">
        <v>187</v>
      </c>
      <c r="B12" s="200"/>
      <c r="C12" s="200"/>
      <c r="D12" s="200"/>
      <c r="E12" s="200"/>
      <c r="F12" s="200"/>
      <c r="G12" s="200"/>
      <c r="H12" s="200"/>
      <c r="I12" s="200"/>
    </row>
    <row r="13" spans="1:256" ht="15.75" customHeight="1" x14ac:dyDescent="0.2">
      <c r="A13" s="201" t="s">
        <v>159</v>
      </c>
      <c r="B13" s="202"/>
      <c r="C13" s="202"/>
      <c r="D13" s="202"/>
      <c r="E13" s="202"/>
      <c r="F13" s="202"/>
      <c r="G13" s="202"/>
      <c r="H13" s="202"/>
      <c r="I13" s="202"/>
    </row>
    <row r="14" spans="1:256" x14ac:dyDescent="0.2">
      <c r="A14" s="55"/>
      <c r="B14" s="56"/>
      <c r="C14" s="57"/>
      <c r="D14" s="57"/>
      <c r="E14" s="57"/>
      <c r="F14" s="56"/>
      <c r="G14" s="56"/>
      <c r="H14" s="56"/>
      <c r="I14" s="56"/>
      <c r="J14" s="56"/>
      <c r="K14" s="56"/>
      <c r="L14" s="56"/>
      <c r="M14" s="56"/>
      <c r="N14" s="56"/>
      <c r="O14" s="56"/>
      <c r="P14" s="56"/>
      <c r="Q14" s="56"/>
      <c r="R14" s="56"/>
      <c r="S14" s="56"/>
      <c r="T14" s="56"/>
      <c r="U14" s="56"/>
      <c r="V14" s="56"/>
      <c r="W14" s="56"/>
      <c r="X14" s="56"/>
      <c r="Y14" s="56"/>
      <c r="Z14" s="56"/>
      <c r="AA14" s="56"/>
      <c r="AB14" s="56"/>
      <c r="AC14" s="56"/>
      <c r="AD14" s="56"/>
      <c r="AE14" s="56"/>
      <c r="AF14" s="56"/>
      <c r="AG14" s="56"/>
      <c r="AH14" s="56"/>
      <c r="AI14" s="56"/>
      <c r="AJ14" s="56"/>
      <c r="AK14" s="56"/>
      <c r="AL14" s="56"/>
      <c r="AM14" s="56"/>
      <c r="AN14" s="56"/>
      <c r="AO14" s="56"/>
      <c r="AP14" s="56"/>
      <c r="AQ14" s="56"/>
      <c r="AR14" s="56"/>
      <c r="AS14" s="56"/>
      <c r="AT14" s="56"/>
      <c r="AU14" s="56"/>
      <c r="AV14" s="56"/>
      <c r="AW14" s="56"/>
      <c r="AX14" s="56"/>
      <c r="AY14" s="56"/>
      <c r="AZ14" s="56"/>
      <c r="BA14" s="56"/>
      <c r="BB14" s="56"/>
      <c r="BC14" s="56"/>
      <c r="BD14" s="56"/>
      <c r="BE14" s="56"/>
      <c r="BF14" s="56"/>
      <c r="BG14" s="56"/>
      <c r="BH14" s="56"/>
      <c r="BI14" s="56"/>
      <c r="BJ14" s="56"/>
      <c r="BK14" s="56"/>
      <c r="BL14" s="56"/>
      <c r="BM14" s="56"/>
      <c r="BN14" s="56"/>
      <c r="BO14" s="56"/>
      <c r="BP14" s="56"/>
      <c r="BQ14" s="56"/>
      <c r="BR14" s="56"/>
      <c r="BS14" s="56"/>
      <c r="BT14" s="56"/>
      <c r="BU14" s="56"/>
      <c r="BV14" s="56"/>
      <c r="BW14" s="56"/>
      <c r="BX14" s="56"/>
      <c r="BY14" s="56"/>
      <c r="BZ14" s="56"/>
      <c r="CA14" s="56"/>
      <c r="CB14" s="56"/>
      <c r="CC14" s="56"/>
      <c r="CD14" s="56"/>
      <c r="CE14" s="56"/>
      <c r="CF14" s="56"/>
      <c r="CG14" s="56"/>
      <c r="CH14" s="56"/>
      <c r="CI14" s="56"/>
      <c r="CJ14" s="56"/>
      <c r="CK14" s="56"/>
      <c r="CL14" s="56"/>
      <c r="CM14" s="56"/>
      <c r="CN14" s="56"/>
      <c r="CO14" s="56"/>
      <c r="CP14" s="56"/>
      <c r="CQ14" s="56"/>
      <c r="CR14" s="56"/>
      <c r="CS14" s="56"/>
      <c r="CT14" s="56"/>
      <c r="CU14" s="56"/>
      <c r="CV14" s="56"/>
      <c r="CW14" s="56"/>
      <c r="CX14" s="56"/>
      <c r="CY14" s="56"/>
      <c r="CZ14" s="56"/>
      <c r="DA14" s="56"/>
      <c r="DB14" s="56"/>
      <c r="DC14" s="56"/>
      <c r="DD14" s="56"/>
      <c r="DE14" s="56"/>
      <c r="DF14" s="56"/>
      <c r="DG14" s="56"/>
      <c r="DH14" s="56"/>
      <c r="DI14" s="56"/>
      <c r="DJ14" s="56"/>
      <c r="DK14" s="56"/>
      <c r="DL14" s="56"/>
      <c r="DM14" s="56"/>
      <c r="DN14" s="56"/>
      <c r="DO14" s="56"/>
      <c r="DP14" s="56"/>
      <c r="DQ14" s="56"/>
      <c r="DR14" s="56"/>
      <c r="DS14" s="56"/>
      <c r="DT14" s="56"/>
      <c r="DU14" s="56"/>
      <c r="DV14" s="56"/>
      <c r="DW14" s="56"/>
      <c r="DX14" s="56"/>
      <c r="DY14" s="56"/>
      <c r="DZ14" s="56"/>
      <c r="EA14" s="56"/>
      <c r="EB14" s="56"/>
      <c r="EC14" s="56"/>
      <c r="ED14" s="56"/>
      <c r="EE14" s="56"/>
      <c r="EF14" s="56"/>
      <c r="EG14" s="56"/>
      <c r="EH14" s="56"/>
      <c r="EI14" s="56"/>
      <c r="EJ14" s="56"/>
      <c r="EK14" s="56"/>
      <c r="EL14" s="56"/>
      <c r="EM14" s="56"/>
      <c r="EN14" s="56"/>
      <c r="EO14" s="56"/>
      <c r="EP14" s="56"/>
      <c r="EQ14" s="56"/>
      <c r="ER14" s="56"/>
      <c r="ES14" s="56"/>
      <c r="ET14" s="56"/>
      <c r="EU14" s="56"/>
      <c r="EV14" s="56"/>
      <c r="EW14" s="56"/>
      <c r="EX14" s="56"/>
      <c r="EY14" s="56"/>
      <c r="EZ14" s="56"/>
      <c r="FA14" s="56"/>
      <c r="FB14" s="56"/>
      <c r="FC14" s="56"/>
      <c r="FD14" s="56"/>
      <c r="FE14" s="56"/>
      <c r="FF14" s="56"/>
      <c r="FG14" s="56"/>
      <c r="FH14" s="56"/>
      <c r="FI14" s="56"/>
      <c r="FJ14" s="56"/>
      <c r="FK14" s="56"/>
      <c r="FL14" s="56"/>
      <c r="FM14" s="56"/>
      <c r="FN14" s="56"/>
      <c r="FO14" s="56"/>
      <c r="FP14" s="56"/>
      <c r="FQ14" s="56"/>
      <c r="FR14" s="56"/>
      <c r="FS14" s="56"/>
      <c r="FT14" s="56"/>
      <c r="FU14" s="56"/>
      <c r="FV14" s="56"/>
      <c r="FW14" s="56"/>
      <c r="FX14" s="56"/>
      <c r="FY14" s="56"/>
      <c r="FZ14" s="56"/>
      <c r="GA14" s="56"/>
      <c r="GB14" s="56"/>
      <c r="GC14" s="56"/>
      <c r="GD14" s="56"/>
      <c r="GE14" s="56"/>
      <c r="GF14" s="56"/>
      <c r="GG14" s="56"/>
      <c r="GH14" s="56"/>
      <c r="GI14" s="56"/>
      <c r="GJ14" s="56"/>
      <c r="GK14" s="56"/>
      <c r="GL14" s="56"/>
      <c r="GM14" s="56"/>
      <c r="GN14" s="56"/>
      <c r="GO14" s="56"/>
      <c r="GP14" s="56"/>
      <c r="GQ14" s="56"/>
      <c r="GR14" s="56"/>
      <c r="GS14" s="56"/>
      <c r="GT14" s="56"/>
      <c r="GU14" s="56"/>
      <c r="GV14" s="56"/>
      <c r="GW14" s="56"/>
      <c r="GX14" s="56"/>
      <c r="GY14" s="56"/>
      <c r="GZ14" s="56"/>
      <c r="HA14" s="56"/>
      <c r="HB14" s="56"/>
      <c r="HC14" s="56"/>
      <c r="HD14" s="56"/>
      <c r="HE14" s="56"/>
      <c r="HF14" s="56"/>
      <c r="HG14" s="56"/>
      <c r="HH14" s="56"/>
      <c r="HI14" s="56"/>
      <c r="HJ14" s="56"/>
      <c r="HK14" s="56"/>
      <c r="HL14" s="56"/>
      <c r="HM14" s="56"/>
      <c r="HN14" s="56"/>
      <c r="HO14" s="56"/>
      <c r="HP14" s="56"/>
      <c r="HQ14" s="56"/>
      <c r="HR14" s="56"/>
      <c r="HS14" s="56"/>
      <c r="HT14" s="56"/>
      <c r="HU14" s="56"/>
      <c r="HV14" s="56"/>
      <c r="HW14" s="56"/>
      <c r="HX14" s="56"/>
      <c r="HY14" s="56"/>
      <c r="HZ14" s="56"/>
      <c r="IA14" s="56"/>
      <c r="IB14" s="56"/>
      <c r="IC14" s="56"/>
      <c r="ID14" s="56"/>
      <c r="IE14" s="56"/>
      <c r="IF14" s="56"/>
      <c r="IG14" s="56"/>
      <c r="IH14" s="56"/>
      <c r="II14" s="56"/>
      <c r="IJ14" s="56"/>
      <c r="IK14" s="56"/>
      <c r="IL14" s="56"/>
      <c r="IM14" s="56"/>
      <c r="IN14" s="56"/>
      <c r="IO14" s="56"/>
      <c r="IP14" s="56"/>
      <c r="IQ14" s="56"/>
      <c r="IR14" s="56"/>
      <c r="IS14" s="56"/>
      <c r="IT14" s="56"/>
      <c r="IU14" s="56"/>
      <c r="IV14" s="56"/>
    </row>
    <row r="15" spans="1:256" ht="33" customHeight="1" x14ac:dyDescent="0.25">
      <c r="A15" s="203" t="s">
        <v>297</v>
      </c>
      <c r="B15" s="203"/>
      <c r="C15" s="203"/>
      <c r="D15" s="203"/>
      <c r="E15" s="203"/>
      <c r="F15" s="203"/>
      <c r="G15" s="203"/>
      <c r="H15" s="203"/>
      <c r="I15" s="203"/>
      <c r="J15" s="58"/>
      <c r="K15" s="56"/>
      <c r="L15" s="56"/>
      <c r="M15" s="56"/>
      <c r="N15" s="56"/>
      <c r="O15" s="56"/>
      <c r="P15" s="56"/>
      <c r="Q15" s="56"/>
      <c r="R15" s="56"/>
      <c r="S15" s="56"/>
      <c r="T15" s="56"/>
      <c r="U15" s="56"/>
      <c r="V15" s="56"/>
      <c r="W15" s="56"/>
      <c r="X15" s="56"/>
      <c r="Y15" s="56"/>
      <c r="Z15" s="56"/>
      <c r="AA15" s="56"/>
      <c r="AB15" s="56"/>
      <c r="AC15" s="56"/>
      <c r="AD15" s="56"/>
      <c r="AE15" s="56"/>
      <c r="AF15" s="56"/>
      <c r="AG15" s="56"/>
      <c r="AH15" s="56"/>
      <c r="AI15" s="56"/>
      <c r="AJ15" s="56"/>
      <c r="AK15" s="56"/>
      <c r="AL15" s="56"/>
      <c r="AM15" s="56"/>
      <c r="AN15" s="56"/>
      <c r="AO15" s="56"/>
      <c r="AP15" s="56"/>
      <c r="AQ15" s="56"/>
      <c r="AR15" s="56"/>
      <c r="AS15" s="56"/>
      <c r="AT15" s="56"/>
      <c r="AU15" s="56"/>
      <c r="AV15" s="56"/>
      <c r="AW15" s="56"/>
      <c r="AX15" s="56"/>
      <c r="AY15" s="56"/>
      <c r="AZ15" s="56"/>
      <c r="BA15" s="56"/>
      <c r="BB15" s="56"/>
      <c r="BC15" s="56"/>
      <c r="BD15" s="56"/>
      <c r="BE15" s="56"/>
      <c r="BF15" s="56"/>
      <c r="BG15" s="56"/>
      <c r="BH15" s="56"/>
      <c r="BI15" s="56"/>
      <c r="BJ15" s="56"/>
      <c r="BK15" s="56"/>
      <c r="BL15" s="56"/>
      <c r="BM15" s="56"/>
      <c r="BN15" s="56"/>
      <c r="BO15" s="56"/>
      <c r="BP15" s="56"/>
      <c r="BQ15" s="56"/>
      <c r="BR15" s="56"/>
      <c r="BS15" s="56"/>
      <c r="BT15" s="56"/>
      <c r="BU15" s="56"/>
      <c r="BV15" s="56"/>
      <c r="BW15" s="56"/>
      <c r="BX15" s="56"/>
      <c r="BY15" s="56"/>
      <c r="BZ15" s="56"/>
      <c r="CA15" s="56"/>
      <c r="CB15" s="56"/>
      <c r="CC15" s="56"/>
      <c r="CD15" s="56"/>
      <c r="CE15" s="56"/>
      <c r="CF15" s="56"/>
      <c r="CG15" s="56"/>
      <c r="CH15" s="56"/>
      <c r="CI15" s="56"/>
      <c r="CJ15" s="56"/>
      <c r="CK15" s="56"/>
      <c r="CL15" s="56"/>
      <c r="CM15" s="56"/>
      <c r="CN15" s="56"/>
      <c r="CO15" s="56"/>
      <c r="CP15" s="56"/>
      <c r="CQ15" s="56"/>
      <c r="CR15" s="56"/>
      <c r="CS15" s="56"/>
      <c r="CT15" s="56"/>
      <c r="CU15" s="56"/>
      <c r="CV15" s="56"/>
      <c r="CW15" s="56"/>
      <c r="CX15" s="56"/>
      <c r="CY15" s="56"/>
      <c r="CZ15" s="56"/>
      <c r="DA15" s="56"/>
      <c r="DB15" s="56"/>
      <c r="DC15" s="56"/>
      <c r="DD15" s="56"/>
      <c r="DE15" s="56"/>
      <c r="DF15" s="56"/>
      <c r="DG15" s="56"/>
      <c r="DH15" s="56"/>
      <c r="DI15" s="56"/>
      <c r="DJ15" s="56"/>
      <c r="DK15" s="56"/>
      <c r="DL15" s="56"/>
      <c r="DM15" s="56"/>
      <c r="DN15" s="56"/>
      <c r="DO15" s="56"/>
      <c r="DP15" s="56"/>
      <c r="DQ15" s="56"/>
      <c r="DR15" s="56"/>
      <c r="DS15" s="56"/>
      <c r="DT15" s="56"/>
      <c r="DU15" s="56"/>
      <c r="DV15" s="56"/>
      <c r="DW15" s="56"/>
      <c r="DX15" s="56"/>
      <c r="DY15" s="56"/>
      <c r="DZ15" s="56"/>
      <c r="EA15" s="56"/>
      <c r="EB15" s="56"/>
      <c r="EC15" s="56"/>
      <c r="ED15" s="56"/>
      <c r="EE15" s="56"/>
      <c r="EF15" s="56"/>
      <c r="EG15" s="56"/>
      <c r="EH15" s="56"/>
      <c r="EI15" s="56"/>
      <c r="EJ15" s="56"/>
      <c r="EK15" s="56"/>
      <c r="EL15" s="56"/>
      <c r="EM15" s="56"/>
      <c r="EN15" s="56"/>
      <c r="EO15" s="56"/>
      <c r="EP15" s="56"/>
      <c r="EQ15" s="56"/>
      <c r="ER15" s="56"/>
      <c r="ES15" s="56"/>
      <c r="ET15" s="56"/>
      <c r="EU15" s="56"/>
      <c r="EV15" s="56"/>
      <c r="EW15" s="56"/>
      <c r="EX15" s="56"/>
      <c r="EY15" s="56"/>
      <c r="EZ15" s="56"/>
      <c r="FA15" s="56"/>
      <c r="FB15" s="56"/>
      <c r="FC15" s="56"/>
      <c r="FD15" s="56"/>
      <c r="FE15" s="56"/>
      <c r="FF15" s="56"/>
      <c r="FG15" s="56"/>
      <c r="FH15" s="56"/>
      <c r="FI15" s="56"/>
      <c r="FJ15" s="56"/>
      <c r="FK15" s="56"/>
      <c r="FL15" s="56"/>
      <c r="FM15" s="56"/>
      <c r="FN15" s="56"/>
      <c r="FO15" s="56"/>
      <c r="FP15" s="56"/>
      <c r="FQ15" s="56"/>
      <c r="FR15" s="56"/>
      <c r="FS15" s="56"/>
      <c r="FT15" s="56"/>
      <c r="FU15" s="56"/>
      <c r="FV15" s="56"/>
      <c r="FW15" s="56"/>
      <c r="FX15" s="56"/>
      <c r="FY15" s="56"/>
      <c r="FZ15" s="56"/>
      <c r="GA15" s="56"/>
      <c r="GB15" s="56"/>
      <c r="GC15" s="56"/>
      <c r="GD15" s="56"/>
      <c r="GE15" s="56"/>
      <c r="GF15" s="56"/>
      <c r="GG15" s="56"/>
      <c r="GH15" s="56"/>
      <c r="GI15" s="56"/>
      <c r="GJ15" s="56"/>
      <c r="GK15" s="56"/>
      <c r="GL15" s="56"/>
      <c r="GM15" s="56"/>
      <c r="GN15" s="56"/>
      <c r="GO15" s="56"/>
      <c r="GP15" s="56"/>
      <c r="GQ15" s="56"/>
      <c r="GR15" s="56"/>
      <c r="GS15" s="56"/>
      <c r="GT15" s="56"/>
      <c r="GU15" s="56"/>
      <c r="GV15" s="56"/>
      <c r="GW15" s="56"/>
      <c r="GX15" s="56"/>
      <c r="GY15" s="56"/>
      <c r="GZ15" s="56"/>
      <c r="HA15" s="56"/>
      <c r="HB15" s="56"/>
      <c r="HC15" s="56"/>
      <c r="HD15" s="56"/>
      <c r="HE15" s="56"/>
      <c r="HF15" s="56"/>
      <c r="HG15" s="56"/>
      <c r="HH15" s="56"/>
      <c r="HI15" s="56"/>
      <c r="HJ15" s="56"/>
      <c r="HK15" s="56"/>
      <c r="HL15" s="56"/>
      <c r="HM15" s="56"/>
      <c r="HN15" s="56"/>
      <c r="HO15" s="56"/>
      <c r="HP15" s="56"/>
      <c r="HQ15" s="56"/>
      <c r="HR15" s="56"/>
      <c r="HS15" s="56"/>
      <c r="HT15" s="56"/>
      <c r="HU15" s="56"/>
      <c r="HV15" s="56"/>
      <c r="HW15" s="56"/>
      <c r="HX15" s="56"/>
      <c r="HY15" s="56"/>
      <c r="HZ15" s="56"/>
      <c r="IA15" s="56"/>
      <c r="IB15" s="56"/>
      <c r="IC15" s="56"/>
      <c r="ID15" s="56"/>
      <c r="IE15" s="56"/>
      <c r="IF15" s="56"/>
      <c r="IG15" s="56"/>
      <c r="IH15" s="56"/>
      <c r="II15" s="56"/>
      <c r="IJ15" s="56"/>
      <c r="IK15" s="56"/>
      <c r="IL15" s="56"/>
      <c r="IM15" s="56"/>
      <c r="IN15" s="56"/>
      <c r="IO15" s="56"/>
      <c r="IP15" s="56"/>
      <c r="IQ15" s="56"/>
      <c r="IR15" s="56"/>
      <c r="IS15" s="56"/>
      <c r="IT15" s="56"/>
      <c r="IU15" s="56"/>
      <c r="IV15" s="56"/>
    </row>
    <row r="16" spans="1:256" ht="9.75" customHeight="1" x14ac:dyDescent="0.25">
      <c r="A16" s="59"/>
      <c r="B16" s="59"/>
      <c r="C16" s="59"/>
      <c r="D16" s="59"/>
      <c r="E16" s="59"/>
      <c r="F16" s="59"/>
      <c r="G16" s="59"/>
      <c r="H16" s="59"/>
      <c r="I16" s="59"/>
      <c r="J16" s="58"/>
      <c r="K16" s="56"/>
      <c r="L16" s="56"/>
      <c r="M16" s="56"/>
      <c r="N16" s="56"/>
      <c r="O16" s="56"/>
      <c r="P16" s="56"/>
      <c r="Q16" s="56"/>
      <c r="R16" s="56"/>
      <c r="S16" s="56"/>
      <c r="T16" s="56"/>
      <c r="U16" s="56"/>
      <c r="V16" s="56"/>
      <c r="W16" s="56"/>
      <c r="X16" s="56"/>
      <c r="Y16" s="56"/>
      <c r="Z16" s="56"/>
      <c r="AA16" s="56"/>
      <c r="AB16" s="56"/>
      <c r="AC16" s="56"/>
      <c r="AD16" s="56"/>
      <c r="AE16" s="56"/>
      <c r="AF16" s="56"/>
      <c r="AG16" s="56"/>
      <c r="AH16" s="56"/>
      <c r="AI16" s="56"/>
      <c r="AJ16" s="56"/>
      <c r="AK16" s="56"/>
      <c r="AL16" s="56"/>
      <c r="AM16" s="56"/>
      <c r="AN16" s="56"/>
      <c r="AO16" s="56"/>
      <c r="AP16" s="56"/>
      <c r="AQ16" s="56"/>
      <c r="AR16" s="56"/>
      <c r="AS16" s="56"/>
      <c r="AT16" s="56"/>
      <c r="AU16" s="56"/>
      <c r="AV16" s="56"/>
      <c r="AW16" s="56"/>
      <c r="AX16" s="56"/>
      <c r="AY16" s="56"/>
      <c r="AZ16" s="56"/>
      <c r="BA16" s="56"/>
      <c r="BB16" s="56"/>
      <c r="BC16" s="56"/>
      <c r="BD16" s="56"/>
      <c r="BE16" s="56"/>
      <c r="BF16" s="56"/>
      <c r="BG16" s="56"/>
      <c r="BH16" s="56"/>
      <c r="BI16" s="56"/>
      <c r="BJ16" s="56"/>
      <c r="BK16" s="56"/>
      <c r="BL16" s="56"/>
      <c r="BM16" s="56"/>
      <c r="BN16" s="56"/>
      <c r="BO16" s="56"/>
      <c r="BP16" s="56"/>
      <c r="BQ16" s="56"/>
      <c r="BR16" s="56"/>
      <c r="BS16" s="56"/>
      <c r="BT16" s="56"/>
      <c r="BU16" s="56"/>
      <c r="BV16" s="56"/>
      <c r="BW16" s="56"/>
      <c r="BX16" s="56"/>
      <c r="BY16" s="56"/>
      <c r="BZ16" s="56"/>
      <c r="CA16" s="56"/>
      <c r="CB16" s="56"/>
      <c r="CC16" s="56"/>
      <c r="CD16" s="56"/>
      <c r="CE16" s="56"/>
      <c r="CF16" s="56"/>
      <c r="CG16" s="56"/>
      <c r="CH16" s="56"/>
      <c r="CI16" s="56"/>
      <c r="CJ16" s="56"/>
      <c r="CK16" s="56"/>
      <c r="CL16" s="56"/>
      <c r="CM16" s="56"/>
      <c r="CN16" s="56"/>
      <c r="CO16" s="56"/>
      <c r="CP16" s="56"/>
      <c r="CQ16" s="56"/>
      <c r="CR16" s="56"/>
      <c r="CS16" s="56"/>
      <c r="CT16" s="56"/>
      <c r="CU16" s="56"/>
      <c r="CV16" s="56"/>
      <c r="CW16" s="56"/>
      <c r="CX16" s="56"/>
      <c r="CY16" s="56"/>
      <c r="CZ16" s="56"/>
      <c r="DA16" s="56"/>
      <c r="DB16" s="56"/>
      <c r="DC16" s="56"/>
      <c r="DD16" s="56"/>
      <c r="DE16" s="56"/>
      <c r="DF16" s="56"/>
      <c r="DG16" s="56"/>
      <c r="DH16" s="56"/>
      <c r="DI16" s="56"/>
      <c r="DJ16" s="56"/>
      <c r="DK16" s="56"/>
      <c r="DL16" s="56"/>
      <c r="DM16" s="56"/>
      <c r="DN16" s="56"/>
      <c r="DO16" s="56"/>
      <c r="DP16" s="56"/>
      <c r="DQ16" s="56"/>
      <c r="DR16" s="56"/>
      <c r="DS16" s="56"/>
      <c r="DT16" s="56"/>
      <c r="DU16" s="56"/>
      <c r="DV16" s="56"/>
      <c r="DW16" s="56"/>
      <c r="DX16" s="56"/>
      <c r="DY16" s="56"/>
      <c r="DZ16" s="56"/>
      <c r="EA16" s="56"/>
      <c r="EB16" s="56"/>
      <c r="EC16" s="56"/>
      <c r="ED16" s="56"/>
      <c r="EE16" s="56"/>
      <c r="EF16" s="56"/>
      <c r="EG16" s="56"/>
      <c r="EH16" s="56"/>
      <c r="EI16" s="56"/>
      <c r="EJ16" s="56"/>
      <c r="EK16" s="56"/>
      <c r="EL16" s="56"/>
      <c r="EM16" s="56"/>
      <c r="EN16" s="56"/>
      <c r="EO16" s="56"/>
      <c r="EP16" s="56"/>
      <c r="EQ16" s="56"/>
      <c r="ER16" s="56"/>
      <c r="ES16" s="56"/>
      <c r="ET16" s="56"/>
      <c r="EU16" s="56"/>
      <c r="EV16" s="56"/>
      <c r="EW16" s="56"/>
      <c r="EX16" s="56"/>
      <c r="EY16" s="56"/>
      <c r="EZ16" s="56"/>
      <c r="FA16" s="56"/>
      <c r="FB16" s="56"/>
      <c r="FC16" s="56"/>
      <c r="FD16" s="56"/>
      <c r="FE16" s="56"/>
      <c r="FF16" s="56"/>
      <c r="FG16" s="56"/>
      <c r="FH16" s="56"/>
      <c r="FI16" s="56"/>
      <c r="FJ16" s="56"/>
      <c r="FK16" s="56"/>
      <c r="FL16" s="56"/>
      <c r="FM16" s="56"/>
      <c r="FN16" s="56"/>
      <c r="FO16" s="56"/>
      <c r="FP16" s="56"/>
      <c r="FQ16" s="56"/>
      <c r="FR16" s="56"/>
      <c r="FS16" s="56"/>
      <c r="FT16" s="56"/>
      <c r="FU16" s="56"/>
      <c r="FV16" s="56"/>
      <c r="FW16" s="56"/>
      <c r="FX16" s="56"/>
      <c r="FY16" s="56"/>
      <c r="FZ16" s="56"/>
      <c r="GA16" s="56"/>
      <c r="GB16" s="56"/>
      <c r="GC16" s="56"/>
      <c r="GD16" s="56"/>
      <c r="GE16" s="56"/>
      <c r="GF16" s="56"/>
      <c r="GG16" s="56"/>
      <c r="GH16" s="56"/>
      <c r="GI16" s="56"/>
      <c r="GJ16" s="56"/>
      <c r="GK16" s="56"/>
      <c r="GL16" s="56"/>
      <c r="GM16" s="56"/>
      <c r="GN16" s="56"/>
      <c r="GO16" s="56"/>
      <c r="GP16" s="56"/>
      <c r="GQ16" s="56"/>
      <c r="GR16" s="56"/>
      <c r="GS16" s="56"/>
      <c r="GT16" s="56"/>
      <c r="GU16" s="56"/>
      <c r="GV16" s="56"/>
      <c r="GW16" s="56"/>
      <c r="GX16" s="56"/>
      <c r="GY16" s="56"/>
      <c r="GZ16" s="56"/>
      <c r="HA16" s="56"/>
      <c r="HB16" s="56"/>
      <c r="HC16" s="56"/>
      <c r="HD16" s="56"/>
      <c r="HE16" s="56"/>
      <c r="HF16" s="56"/>
      <c r="HG16" s="56"/>
      <c r="HH16" s="56"/>
      <c r="HI16" s="56"/>
      <c r="HJ16" s="56"/>
      <c r="HK16" s="56"/>
      <c r="HL16" s="56"/>
      <c r="HM16" s="56"/>
      <c r="HN16" s="56"/>
      <c r="HO16" s="56"/>
      <c r="HP16" s="56"/>
      <c r="HQ16" s="56"/>
      <c r="HR16" s="56"/>
      <c r="HS16" s="56"/>
      <c r="HT16" s="56"/>
      <c r="HU16" s="56"/>
      <c r="HV16" s="56"/>
      <c r="HW16" s="56"/>
      <c r="HX16" s="56"/>
      <c r="HY16" s="56"/>
      <c r="HZ16" s="56"/>
      <c r="IA16" s="56"/>
      <c r="IB16" s="56"/>
      <c r="IC16" s="56"/>
      <c r="ID16" s="56"/>
      <c r="IE16" s="56"/>
      <c r="IF16" s="56"/>
      <c r="IG16" s="56"/>
      <c r="IH16" s="56"/>
      <c r="II16" s="56"/>
      <c r="IJ16" s="56"/>
      <c r="IK16" s="56"/>
      <c r="IL16" s="56"/>
      <c r="IM16" s="56"/>
      <c r="IN16" s="56"/>
      <c r="IO16" s="56"/>
      <c r="IP16" s="56"/>
      <c r="IQ16" s="56"/>
      <c r="IR16" s="56"/>
      <c r="IS16" s="56"/>
      <c r="IT16" s="56"/>
      <c r="IU16" s="56"/>
      <c r="IV16" s="56"/>
    </row>
    <row r="17" spans="1:9" ht="97.5" customHeight="1" x14ac:dyDescent="0.2">
      <c r="A17" s="60" t="s">
        <v>188</v>
      </c>
      <c r="B17" s="204" t="s">
        <v>189</v>
      </c>
      <c r="C17" s="205"/>
      <c r="D17" s="204" t="s">
        <v>88</v>
      </c>
      <c r="E17" s="206"/>
      <c r="F17" s="206"/>
      <c r="G17" s="205"/>
      <c r="H17" s="61" t="s">
        <v>87</v>
      </c>
      <c r="I17" s="114" t="s">
        <v>190</v>
      </c>
    </row>
    <row r="18" spans="1:9" ht="12.75" customHeight="1" x14ac:dyDescent="0.2">
      <c r="A18" s="88" t="s">
        <v>191</v>
      </c>
      <c r="B18" s="207">
        <v>2</v>
      </c>
      <c r="C18" s="208"/>
      <c r="D18" s="207">
        <v>3</v>
      </c>
      <c r="E18" s="209"/>
      <c r="F18" s="209"/>
      <c r="G18" s="208"/>
      <c r="H18" s="113">
        <v>4</v>
      </c>
      <c r="I18" s="115">
        <v>5</v>
      </c>
    </row>
    <row r="19" spans="1:9" ht="94.5" customHeight="1" x14ac:dyDescent="0.2">
      <c r="A19" s="89" t="s">
        <v>191</v>
      </c>
      <c r="B19" s="233" t="s">
        <v>292</v>
      </c>
      <c r="C19" s="233"/>
      <c r="D19" s="234" t="s">
        <v>293</v>
      </c>
      <c r="E19" s="234"/>
      <c r="F19" s="234"/>
      <c r="G19" s="234"/>
      <c r="H19" s="111" t="s">
        <v>294</v>
      </c>
      <c r="I19" s="112">
        <f>3550.6*2.4*1.2*0.805*3.83</f>
        <v>31527.453283199993</v>
      </c>
    </row>
    <row r="20" spans="1:9" ht="115.5" customHeight="1" x14ac:dyDescent="0.2">
      <c r="A20" s="75" t="s">
        <v>200</v>
      </c>
      <c r="B20" s="235" t="s">
        <v>220</v>
      </c>
      <c r="C20" s="236"/>
      <c r="D20" s="245" t="s">
        <v>221</v>
      </c>
      <c r="E20" s="246"/>
      <c r="F20" s="246"/>
      <c r="G20" s="247"/>
      <c r="H20" s="64" t="s">
        <v>291</v>
      </c>
      <c r="I20" s="65">
        <f>(11960*1*0.6*3.83*1.4*(1+0.1)*0.825)</f>
        <v>34918.523639999999</v>
      </c>
    </row>
    <row r="21" spans="1:9" ht="14.25" customHeight="1" x14ac:dyDescent="0.2">
      <c r="A21" s="75"/>
      <c r="B21" s="215" t="s">
        <v>63</v>
      </c>
      <c r="C21" s="216"/>
      <c r="D21" s="248"/>
      <c r="E21" s="249"/>
      <c r="F21" s="249"/>
      <c r="G21" s="250"/>
      <c r="H21" s="76"/>
      <c r="I21" s="87"/>
    </row>
    <row r="22" spans="1:9" ht="26.25" customHeight="1" x14ac:dyDescent="0.2">
      <c r="A22" s="75"/>
      <c r="B22" s="230" t="s">
        <v>194</v>
      </c>
      <c r="C22" s="231"/>
      <c r="D22" s="230" t="s">
        <v>195</v>
      </c>
      <c r="E22" s="232"/>
      <c r="F22" s="232"/>
      <c r="G22" s="231"/>
      <c r="H22" s="76"/>
      <c r="I22" s="87"/>
    </row>
    <row r="23" spans="1:9" ht="38.25" customHeight="1" x14ac:dyDescent="0.2">
      <c r="A23" s="75"/>
      <c r="B23" s="240"/>
      <c r="C23" s="241"/>
      <c r="D23" s="230" t="s">
        <v>196</v>
      </c>
      <c r="E23" s="232"/>
      <c r="F23" s="232"/>
      <c r="G23" s="231"/>
      <c r="H23" s="76"/>
      <c r="I23" s="87"/>
    </row>
    <row r="24" spans="1:9" ht="27.75" customHeight="1" x14ac:dyDescent="0.2">
      <c r="A24" s="75"/>
      <c r="B24" s="240"/>
      <c r="C24" s="241"/>
      <c r="D24" s="230" t="s">
        <v>197</v>
      </c>
      <c r="E24" s="232"/>
      <c r="F24" s="232"/>
      <c r="G24" s="231"/>
      <c r="H24" s="76"/>
      <c r="I24" s="87"/>
    </row>
    <row r="25" spans="1:9" ht="25.5" customHeight="1" x14ac:dyDescent="0.2">
      <c r="A25" s="75"/>
      <c r="B25" s="240"/>
      <c r="C25" s="241"/>
      <c r="D25" s="218" t="s">
        <v>198</v>
      </c>
      <c r="E25" s="220"/>
      <c r="F25" s="220"/>
      <c r="G25" s="219"/>
      <c r="H25" s="76"/>
      <c r="I25" s="87"/>
    </row>
    <row r="26" spans="1:9" ht="54.75" customHeight="1" x14ac:dyDescent="0.2">
      <c r="A26" s="75"/>
      <c r="B26" s="221" t="s">
        <v>69</v>
      </c>
      <c r="C26" s="222"/>
      <c r="D26" s="221"/>
      <c r="E26" s="223"/>
      <c r="F26" s="223"/>
      <c r="G26" s="222"/>
      <c r="H26" s="73" t="s">
        <v>290</v>
      </c>
      <c r="I26" s="87"/>
    </row>
    <row r="27" spans="1:9" ht="106.5" customHeight="1" x14ac:dyDescent="0.2">
      <c r="A27" s="75" t="s">
        <v>201</v>
      </c>
      <c r="B27" s="235" t="s">
        <v>71</v>
      </c>
      <c r="C27" s="236"/>
      <c r="D27" s="237" t="s">
        <v>72</v>
      </c>
      <c r="E27" s="238"/>
      <c r="F27" s="238"/>
      <c r="G27" s="239"/>
      <c r="H27" s="76" t="s">
        <v>225</v>
      </c>
      <c r="I27" s="82">
        <f>(0+800*1)*1*0.5*3.83</f>
        <v>1532</v>
      </c>
    </row>
    <row r="28" spans="1:9" ht="15.75" customHeight="1" x14ac:dyDescent="0.2">
      <c r="A28" s="66" t="s">
        <v>193</v>
      </c>
      <c r="B28" s="215" t="s">
        <v>63</v>
      </c>
      <c r="C28" s="216"/>
      <c r="D28" s="215"/>
      <c r="E28" s="217"/>
      <c r="F28" s="217"/>
      <c r="G28" s="216"/>
      <c r="H28" s="67"/>
      <c r="I28" s="91"/>
    </row>
    <row r="29" spans="1:9" ht="12.75" customHeight="1" x14ac:dyDescent="0.2">
      <c r="A29" s="69" t="s">
        <v>193</v>
      </c>
      <c r="B29" s="230" t="s">
        <v>64</v>
      </c>
      <c r="C29" s="231"/>
      <c r="D29" s="230" t="s">
        <v>74</v>
      </c>
      <c r="E29" s="232"/>
      <c r="F29" s="232"/>
      <c r="G29" s="231"/>
      <c r="H29" s="70"/>
      <c r="I29" s="71"/>
    </row>
    <row r="30" spans="1:9" ht="38.25" customHeight="1" x14ac:dyDescent="0.2">
      <c r="A30" s="69" t="s">
        <v>193</v>
      </c>
      <c r="B30" s="230"/>
      <c r="C30" s="231"/>
      <c r="D30" s="230" t="s">
        <v>196</v>
      </c>
      <c r="E30" s="232"/>
      <c r="F30" s="232"/>
      <c r="G30" s="231"/>
      <c r="H30" s="70"/>
      <c r="I30" s="71"/>
    </row>
    <row r="31" spans="1:9" ht="22.5" customHeight="1" x14ac:dyDescent="0.2">
      <c r="A31" s="72" t="s">
        <v>193</v>
      </c>
      <c r="B31" s="242" t="s">
        <v>69</v>
      </c>
      <c r="C31" s="243"/>
      <c r="D31" s="242"/>
      <c r="E31" s="244"/>
      <c r="F31" s="244"/>
      <c r="G31" s="243"/>
      <c r="H31" s="73" t="s">
        <v>75</v>
      </c>
      <c r="I31" s="74"/>
    </row>
    <row r="32" spans="1:9" ht="12.75" customHeight="1" x14ac:dyDescent="0.2">
      <c r="A32" s="72" t="s">
        <v>202</v>
      </c>
      <c r="B32" s="224" t="s">
        <v>76</v>
      </c>
      <c r="C32" s="225"/>
      <c r="D32" s="224"/>
      <c r="E32" s="226"/>
      <c r="F32" s="226"/>
      <c r="G32" s="225"/>
      <c r="H32" s="78"/>
      <c r="I32" s="79">
        <f>I19+I27+I20</f>
        <v>67977.976923199996</v>
      </c>
    </row>
    <row r="33" spans="1:256" ht="12.75" customHeight="1" x14ac:dyDescent="0.2">
      <c r="A33" s="80" t="s">
        <v>203</v>
      </c>
      <c r="B33" s="227" t="s">
        <v>77</v>
      </c>
      <c r="C33" s="228"/>
      <c r="D33" s="227"/>
      <c r="E33" s="229"/>
      <c r="F33" s="229"/>
      <c r="G33" s="228"/>
      <c r="H33" s="81" t="s">
        <v>217</v>
      </c>
      <c r="I33" s="82">
        <f>I32*0.1</f>
        <v>6797.7976923200004</v>
      </c>
    </row>
    <row r="34" spans="1:256" ht="39.75" customHeight="1" x14ac:dyDescent="0.2">
      <c r="A34" s="80" t="s">
        <v>204</v>
      </c>
      <c r="B34" s="227" t="s">
        <v>23</v>
      </c>
      <c r="C34" s="228"/>
      <c r="D34" s="227"/>
      <c r="E34" s="229"/>
      <c r="F34" s="229"/>
      <c r="G34" s="228"/>
      <c r="H34" s="81" t="s">
        <v>79</v>
      </c>
      <c r="I34" s="82">
        <v>39911</v>
      </c>
    </row>
    <row r="35" spans="1:256" ht="25.5" customHeight="1" x14ac:dyDescent="0.2">
      <c r="A35" s="80" t="s">
        <v>205</v>
      </c>
      <c r="B35" s="227" t="s">
        <v>80</v>
      </c>
      <c r="C35" s="228"/>
      <c r="D35" s="227"/>
      <c r="E35" s="229"/>
      <c r="F35" s="229"/>
      <c r="G35" s="228"/>
      <c r="H35" s="81" t="s">
        <v>79</v>
      </c>
      <c r="I35" s="82">
        <v>16473.330000000002</v>
      </c>
    </row>
    <row r="36" spans="1:256" ht="12.75" customHeight="1" x14ac:dyDescent="0.2">
      <c r="A36" s="80" t="s">
        <v>206</v>
      </c>
      <c r="B36" s="227" t="s">
        <v>81</v>
      </c>
      <c r="C36" s="228"/>
      <c r="D36" s="227"/>
      <c r="E36" s="229"/>
      <c r="F36" s="229"/>
      <c r="G36" s="228"/>
      <c r="H36" s="81" t="s">
        <v>227</v>
      </c>
      <c r="I36" s="82">
        <f>I32+I33+I34+I35</f>
        <v>131160.10461551999</v>
      </c>
    </row>
    <row r="37" spans="1:256" ht="12.75" customHeight="1" x14ac:dyDescent="0.2">
      <c r="A37" s="80" t="s">
        <v>208</v>
      </c>
      <c r="B37" s="227" t="s">
        <v>207</v>
      </c>
      <c r="C37" s="228"/>
      <c r="D37" s="227"/>
      <c r="E37" s="229"/>
      <c r="F37" s="229"/>
      <c r="G37" s="228"/>
      <c r="H37" s="81" t="s">
        <v>274</v>
      </c>
      <c r="I37" s="82">
        <f>ROUND(I36*20%,2)</f>
        <v>26232.02</v>
      </c>
    </row>
    <row r="38" spans="1:256" ht="12.75" customHeight="1" x14ac:dyDescent="0.2">
      <c r="A38" s="80" t="s">
        <v>226</v>
      </c>
      <c r="B38" s="224" t="s">
        <v>85</v>
      </c>
      <c r="C38" s="225"/>
      <c r="D38" s="224"/>
      <c r="E38" s="226"/>
      <c r="F38" s="226"/>
      <c r="G38" s="225"/>
      <c r="H38" s="83" t="s">
        <v>228</v>
      </c>
      <c r="I38" s="84">
        <f>I36+I37</f>
        <v>157392.12461551998</v>
      </c>
    </row>
    <row r="40" spans="1:256" ht="12.75" customHeight="1" x14ac:dyDescent="0.25">
      <c r="A40" s="52" t="s">
        <v>209</v>
      </c>
      <c r="B40" s="52"/>
      <c r="C40" s="52"/>
      <c r="D40" s="52"/>
      <c r="E40" s="52"/>
      <c r="F40" s="52"/>
      <c r="G40" s="52"/>
      <c r="H40" s="52"/>
      <c r="I40" s="52"/>
      <c r="J40" s="52"/>
      <c r="K40" s="52"/>
      <c r="L40" s="52"/>
      <c r="M40" s="52"/>
      <c r="N40" s="52"/>
      <c r="O40" s="52"/>
      <c r="P40" s="52"/>
      <c r="Q40" s="52"/>
      <c r="R40" s="52"/>
      <c r="S40" s="52"/>
      <c r="T40" s="52"/>
      <c r="U40" s="52"/>
      <c r="V40" s="52"/>
      <c r="W40" s="52"/>
      <c r="X40" s="52"/>
      <c r="Y40" s="52"/>
      <c r="Z40" s="52"/>
      <c r="AA40" s="52"/>
      <c r="AB40" s="52"/>
      <c r="AC40" s="52"/>
      <c r="AD40" s="52"/>
      <c r="AE40" s="52"/>
      <c r="AF40" s="52"/>
      <c r="AG40" s="52"/>
      <c r="AH40" s="52"/>
      <c r="AI40" s="52"/>
      <c r="AJ40" s="52"/>
      <c r="AK40" s="52"/>
      <c r="AL40" s="52"/>
      <c r="AM40" s="52"/>
      <c r="AN40" s="52"/>
      <c r="AO40" s="52"/>
      <c r="AP40" s="52"/>
      <c r="AQ40" s="52"/>
      <c r="AR40" s="52"/>
      <c r="AS40" s="52"/>
      <c r="AT40" s="52"/>
      <c r="AU40" s="52"/>
      <c r="AV40" s="52"/>
      <c r="AW40" s="52"/>
      <c r="AX40" s="52"/>
      <c r="AY40" s="52"/>
      <c r="AZ40" s="52"/>
      <c r="BA40" s="52"/>
      <c r="BB40" s="52"/>
      <c r="BC40" s="52"/>
      <c r="BD40" s="52"/>
      <c r="BE40" s="52"/>
      <c r="BF40" s="52"/>
      <c r="BG40" s="52"/>
      <c r="BH40" s="52"/>
      <c r="BI40" s="52"/>
      <c r="BJ40" s="52"/>
      <c r="BK40" s="52"/>
      <c r="BL40" s="52"/>
      <c r="BM40" s="52"/>
      <c r="BN40" s="52"/>
      <c r="BO40" s="52"/>
      <c r="BP40" s="52"/>
      <c r="BQ40" s="52"/>
      <c r="BR40" s="52"/>
      <c r="BS40" s="52"/>
      <c r="BT40" s="52"/>
      <c r="BU40" s="52"/>
      <c r="BV40" s="52"/>
      <c r="BW40" s="52"/>
      <c r="BX40" s="52"/>
      <c r="BY40" s="52"/>
      <c r="BZ40" s="52"/>
      <c r="CA40" s="52"/>
      <c r="CB40" s="52"/>
      <c r="CC40" s="52"/>
      <c r="CD40" s="52"/>
      <c r="CE40" s="52"/>
      <c r="CF40" s="52"/>
      <c r="CG40" s="52"/>
      <c r="CH40" s="52"/>
      <c r="CI40" s="52"/>
      <c r="CJ40" s="52"/>
      <c r="CK40" s="52"/>
      <c r="CL40" s="52"/>
      <c r="CM40" s="52"/>
      <c r="CN40" s="52"/>
      <c r="CO40" s="52"/>
      <c r="CP40" s="52"/>
      <c r="CQ40" s="52"/>
      <c r="CR40" s="52"/>
      <c r="CS40" s="52"/>
      <c r="CT40" s="52"/>
      <c r="CU40" s="52"/>
      <c r="CV40" s="52"/>
      <c r="CW40" s="52"/>
      <c r="CX40" s="52"/>
      <c r="CY40" s="52"/>
      <c r="CZ40" s="52"/>
      <c r="DA40" s="52"/>
      <c r="DB40" s="52"/>
      <c r="DC40" s="52"/>
      <c r="DD40" s="52"/>
      <c r="DE40" s="52"/>
      <c r="DF40" s="52"/>
      <c r="DG40" s="52"/>
      <c r="DH40" s="52"/>
      <c r="DI40" s="52"/>
      <c r="DJ40" s="52"/>
      <c r="DK40" s="52"/>
      <c r="DL40" s="52"/>
      <c r="DM40" s="52"/>
      <c r="DN40" s="52"/>
      <c r="DO40" s="52"/>
      <c r="DP40" s="52"/>
      <c r="DQ40" s="52"/>
      <c r="DR40" s="52"/>
      <c r="DS40" s="52"/>
      <c r="DT40" s="52"/>
      <c r="DU40" s="52"/>
      <c r="DV40" s="52"/>
      <c r="DW40" s="52"/>
      <c r="DX40" s="52"/>
      <c r="DY40" s="52"/>
      <c r="DZ40" s="52"/>
      <c r="EA40" s="52"/>
      <c r="EB40" s="52"/>
      <c r="EC40" s="52"/>
      <c r="ED40" s="52"/>
      <c r="EE40" s="52"/>
      <c r="EF40" s="52"/>
      <c r="EG40" s="52"/>
      <c r="EH40" s="52"/>
      <c r="EI40" s="52"/>
      <c r="EJ40" s="52"/>
      <c r="EK40" s="52"/>
      <c r="EL40" s="52"/>
      <c r="EM40" s="52"/>
      <c r="EN40" s="52"/>
      <c r="EO40" s="52"/>
      <c r="EP40" s="52"/>
      <c r="EQ40" s="52"/>
      <c r="ER40" s="52"/>
      <c r="ES40" s="52"/>
      <c r="ET40" s="52"/>
      <c r="EU40" s="52"/>
      <c r="EV40" s="52"/>
      <c r="EW40" s="52"/>
      <c r="EX40" s="52"/>
      <c r="EY40" s="52"/>
      <c r="EZ40" s="52"/>
      <c r="FA40" s="52"/>
      <c r="FB40" s="52"/>
      <c r="FC40" s="52"/>
      <c r="FD40" s="52"/>
      <c r="FE40" s="52"/>
      <c r="FF40" s="52"/>
      <c r="FG40" s="52"/>
      <c r="FH40" s="52"/>
      <c r="FI40" s="52"/>
      <c r="FJ40" s="52"/>
      <c r="FK40" s="52"/>
      <c r="FL40" s="52"/>
      <c r="FM40" s="52"/>
      <c r="FN40" s="52"/>
      <c r="FO40" s="52"/>
      <c r="FP40" s="52"/>
      <c r="FQ40" s="52"/>
      <c r="FR40" s="52"/>
      <c r="FS40" s="52"/>
      <c r="FT40" s="52"/>
      <c r="FU40" s="52"/>
      <c r="FV40" s="52"/>
      <c r="FW40" s="52"/>
      <c r="FX40" s="52"/>
      <c r="FY40" s="52"/>
      <c r="FZ40" s="52"/>
      <c r="GA40" s="52"/>
      <c r="GB40" s="52"/>
      <c r="GC40" s="52"/>
      <c r="GD40" s="52"/>
      <c r="GE40" s="52"/>
      <c r="GF40" s="52"/>
      <c r="GG40" s="52"/>
      <c r="GH40" s="52"/>
      <c r="GI40" s="52"/>
      <c r="GJ40" s="52"/>
      <c r="GK40" s="52"/>
      <c r="GL40" s="52"/>
      <c r="GM40" s="52"/>
      <c r="GN40" s="52"/>
      <c r="GO40" s="52"/>
      <c r="GP40" s="52"/>
      <c r="GQ40" s="52"/>
      <c r="GR40" s="52"/>
      <c r="GS40" s="52"/>
      <c r="GT40" s="52"/>
      <c r="GU40" s="52"/>
      <c r="GV40" s="52"/>
      <c r="GW40" s="52"/>
      <c r="GX40" s="52"/>
      <c r="GY40" s="52"/>
      <c r="GZ40" s="52"/>
      <c r="HA40" s="52"/>
      <c r="HB40" s="52"/>
      <c r="HC40" s="52"/>
      <c r="HD40" s="52"/>
      <c r="HE40" s="52"/>
      <c r="HF40" s="52"/>
      <c r="HG40" s="52"/>
      <c r="HH40" s="52"/>
      <c r="HI40" s="52"/>
      <c r="HJ40" s="52"/>
      <c r="HK40" s="52"/>
      <c r="HL40" s="52"/>
      <c r="HM40" s="52"/>
      <c r="HN40" s="52"/>
      <c r="HO40" s="52"/>
      <c r="HP40" s="52"/>
      <c r="HQ40" s="52"/>
      <c r="HR40" s="52"/>
      <c r="HS40" s="52"/>
      <c r="HT40" s="52"/>
      <c r="HU40" s="52"/>
      <c r="HV40" s="52"/>
      <c r="HW40" s="52"/>
      <c r="HX40" s="52"/>
      <c r="HY40" s="52"/>
      <c r="HZ40" s="52"/>
      <c r="IA40" s="52"/>
      <c r="IB40" s="52"/>
      <c r="IC40" s="52"/>
      <c r="ID40" s="52"/>
      <c r="IE40" s="52"/>
      <c r="IF40" s="52"/>
      <c r="IG40" s="52"/>
      <c r="IH40" s="52"/>
      <c r="II40" s="52"/>
      <c r="IJ40" s="52"/>
      <c r="IK40" s="52"/>
      <c r="IL40" s="52"/>
      <c r="IM40" s="52"/>
      <c r="IN40" s="52"/>
      <c r="IO40" s="52"/>
      <c r="IP40" s="52"/>
      <c r="IQ40" s="52"/>
      <c r="IR40" s="52"/>
      <c r="IS40" s="52"/>
      <c r="IT40" s="52"/>
      <c r="IU40" s="52"/>
      <c r="IV40" s="52"/>
    </row>
    <row r="41" spans="1:256" ht="13.5" customHeight="1" x14ac:dyDescent="0.25">
      <c r="A41" s="1" t="s">
        <v>27</v>
      </c>
      <c r="B41" s="1"/>
      <c r="C41" s="1"/>
      <c r="D41" s="52"/>
      <c r="E41" s="52"/>
      <c r="F41" s="52"/>
      <c r="G41" s="52"/>
      <c r="H41" s="52"/>
      <c r="I41" s="52"/>
      <c r="J41" s="52"/>
      <c r="K41" s="52"/>
      <c r="L41" s="52"/>
      <c r="M41" s="52"/>
      <c r="N41" s="52"/>
      <c r="O41" s="52"/>
      <c r="P41" s="52"/>
      <c r="Q41" s="52"/>
      <c r="R41" s="52"/>
      <c r="S41" s="52"/>
      <c r="T41" s="52"/>
      <c r="U41" s="52"/>
      <c r="V41" s="52"/>
      <c r="W41" s="52"/>
      <c r="X41" s="52"/>
      <c r="Y41" s="52"/>
      <c r="Z41" s="52"/>
      <c r="AA41" s="52"/>
      <c r="AB41" s="52"/>
      <c r="AC41" s="52"/>
      <c r="AD41" s="52"/>
      <c r="AE41" s="52"/>
      <c r="AF41" s="52"/>
      <c r="AG41" s="52"/>
      <c r="AH41" s="52"/>
      <c r="AI41" s="52"/>
      <c r="AJ41" s="52"/>
      <c r="AK41" s="52"/>
      <c r="AL41" s="52"/>
      <c r="AM41" s="52"/>
      <c r="AN41" s="52"/>
      <c r="AO41" s="52"/>
      <c r="AP41" s="52"/>
      <c r="AQ41" s="52"/>
      <c r="AR41" s="52"/>
      <c r="AS41" s="52"/>
      <c r="AT41" s="52"/>
      <c r="AU41" s="52"/>
      <c r="AV41" s="52"/>
      <c r="AW41" s="52"/>
      <c r="AX41" s="52"/>
      <c r="AY41" s="52"/>
      <c r="AZ41" s="52"/>
      <c r="BA41" s="52"/>
      <c r="BB41" s="52"/>
      <c r="BC41" s="52"/>
      <c r="BD41" s="52"/>
      <c r="BE41" s="52"/>
      <c r="BF41" s="52"/>
      <c r="BG41" s="52"/>
      <c r="BH41" s="52"/>
      <c r="BI41" s="52"/>
      <c r="BJ41" s="52"/>
      <c r="BK41" s="52"/>
      <c r="BL41" s="52"/>
      <c r="BM41" s="52"/>
      <c r="BN41" s="52"/>
      <c r="BO41" s="52"/>
      <c r="BP41" s="52"/>
      <c r="BQ41" s="52"/>
      <c r="BR41" s="52"/>
      <c r="BS41" s="52"/>
      <c r="BT41" s="52"/>
      <c r="BU41" s="52"/>
      <c r="BV41" s="52"/>
      <c r="BW41" s="52"/>
      <c r="BX41" s="52"/>
      <c r="BY41" s="52"/>
      <c r="BZ41" s="52"/>
      <c r="CA41" s="52"/>
      <c r="CB41" s="52"/>
      <c r="CC41" s="52"/>
      <c r="CD41" s="52"/>
      <c r="CE41" s="52"/>
      <c r="CF41" s="52"/>
      <c r="CG41" s="52"/>
      <c r="CH41" s="52"/>
      <c r="CI41" s="52"/>
      <c r="CJ41" s="52"/>
      <c r="CK41" s="52"/>
      <c r="CL41" s="52"/>
      <c r="CM41" s="52"/>
      <c r="CN41" s="52"/>
      <c r="CO41" s="52"/>
      <c r="CP41" s="52"/>
      <c r="CQ41" s="52"/>
      <c r="CR41" s="52"/>
      <c r="CS41" s="52"/>
      <c r="CT41" s="52"/>
      <c r="CU41" s="52"/>
      <c r="CV41" s="52"/>
      <c r="CW41" s="52"/>
      <c r="CX41" s="52"/>
      <c r="CY41" s="52"/>
      <c r="CZ41" s="52"/>
      <c r="DA41" s="52"/>
      <c r="DB41" s="52"/>
      <c r="DC41" s="52"/>
      <c r="DD41" s="52"/>
      <c r="DE41" s="52"/>
      <c r="DF41" s="52"/>
      <c r="DG41" s="52"/>
      <c r="DH41" s="52"/>
      <c r="DI41" s="52"/>
      <c r="DJ41" s="52"/>
      <c r="DK41" s="52"/>
      <c r="DL41" s="52"/>
      <c r="DM41" s="52"/>
      <c r="DN41" s="52"/>
      <c r="DO41" s="52"/>
      <c r="DP41" s="52"/>
      <c r="DQ41" s="52"/>
      <c r="DR41" s="52"/>
      <c r="DS41" s="52"/>
      <c r="DT41" s="52"/>
      <c r="DU41" s="52"/>
      <c r="DV41" s="52"/>
      <c r="DW41" s="52"/>
      <c r="DX41" s="52"/>
      <c r="DY41" s="52"/>
      <c r="DZ41" s="52"/>
      <c r="EA41" s="52"/>
      <c r="EB41" s="52"/>
      <c r="EC41" s="52"/>
      <c r="ED41" s="52"/>
      <c r="EE41" s="52"/>
      <c r="EF41" s="52"/>
      <c r="EG41" s="52"/>
      <c r="EH41" s="52"/>
      <c r="EI41" s="52"/>
      <c r="EJ41" s="52"/>
      <c r="EK41" s="52"/>
      <c r="EL41" s="52"/>
      <c r="EM41" s="52"/>
      <c r="EN41" s="52"/>
      <c r="EO41" s="52"/>
      <c r="EP41" s="52"/>
      <c r="EQ41" s="52"/>
      <c r="ER41" s="52"/>
      <c r="ES41" s="52"/>
      <c r="ET41" s="52"/>
      <c r="EU41" s="52"/>
      <c r="EV41" s="52"/>
      <c r="EW41" s="52"/>
      <c r="EX41" s="52"/>
      <c r="EY41" s="52"/>
      <c r="EZ41" s="52"/>
      <c r="FA41" s="52"/>
      <c r="FB41" s="52"/>
      <c r="FC41" s="52"/>
      <c r="FD41" s="52"/>
      <c r="FE41" s="52"/>
      <c r="FF41" s="52"/>
      <c r="FG41" s="52"/>
      <c r="FH41" s="52"/>
      <c r="FI41" s="52"/>
      <c r="FJ41" s="52"/>
      <c r="FK41" s="52"/>
      <c r="FL41" s="52"/>
      <c r="FM41" s="52"/>
      <c r="FN41" s="52"/>
      <c r="FO41" s="52"/>
      <c r="FP41" s="52"/>
      <c r="FQ41" s="52"/>
      <c r="FR41" s="52"/>
      <c r="FS41" s="52"/>
      <c r="FT41" s="52"/>
      <c r="FU41" s="52"/>
      <c r="FV41" s="52"/>
      <c r="FW41" s="52"/>
      <c r="FX41" s="52"/>
      <c r="FY41" s="52"/>
      <c r="FZ41" s="52"/>
      <c r="GA41" s="52"/>
      <c r="GB41" s="52"/>
      <c r="GC41" s="52"/>
      <c r="GD41" s="52"/>
      <c r="GE41" s="52"/>
      <c r="GF41" s="52"/>
      <c r="GG41" s="52"/>
      <c r="GH41" s="52"/>
      <c r="GI41" s="52"/>
      <c r="GJ41" s="52"/>
      <c r="GK41" s="52"/>
      <c r="GL41" s="52"/>
      <c r="GM41" s="52"/>
      <c r="GN41" s="52"/>
      <c r="GO41" s="52"/>
      <c r="GP41" s="52"/>
      <c r="GQ41" s="52"/>
      <c r="GR41" s="52"/>
      <c r="GS41" s="52"/>
      <c r="GT41" s="52"/>
      <c r="GU41" s="52"/>
      <c r="GV41" s="52"/>
      <c r="GW41" s="52"/>
      <c r="GX41" s="52"/>
      <c r="GY41" s="52"/>
      <c r="GZ41" s="52"/>
      <c r="HA41" s="52"/>
      <c r="HB41" s="52"/>
      <c r="HC41" s="52"/>
      <c r="HD41" s="52"/>
      <c r="HE41" s="52"/>
      <c r="HF41" s="52"/>
      <c r="HG41" s="52"/>
      <c r="HH41" s="52"/>
      <c r="HI41" s="52"/>
      <c r="HJ41" s="52"/>
      <c r="HK41" s="52"/>
      <c r="HL41" s="52"/>
      <c r="HM41" s="52"/>
      <c r="HN41" s="52"/>
      <c r="HO41" s="52"/>
      <c r="HP41" s="52"/>
      <c r="HQ41" s="52"/>
      <c r="HR41" s="52"/>
      <c r="HS41" s="52"/>
      <c r="HT41" s="52"/>
      <c r="HU41" s="52"/>
      <c r="HV41" s="52"/>
      <c r="HW41" s="52"/>
      <c r="HX41" s="52"/>
      <c r="HY41" s="52"/>
      <c r="HZ41" s="52"/>
      <c r="IA41" s="52"/>
      <c r="IB41" s="52"/>
      <c r="IC41" s="52"/>
      <c r="ID41" s="52"/>
      <c r="IE41" s="52"/>
      <c r="IF41" s="52"/>
      <c r="IG41" s="52"/>
      <c r="IH41" s="52"/>
      <c r="II41" s="52"/>
      <c r="IJ41" s="52"/>
      <c r="IK41" s="52"/>
      <c r="IL41" s="52"/>
      <c r="IM41" s="52"/>
      <c r="IN41" s="52"/>
      <c r="IO41" s="52"/>
      <c r="IP41" s="52"/>
      <c r="IQ41" s="52"/>
      <c r="IR41" s="52"/>
      <c r="IS41" s="52"/>
      <c r="IT41" s="52"/>
      <c r="IU41" s="52"/>
      <c r="IV41" s="52"/>
    </row>
    <row r="42" spans="1:256" ht="18" customHeight="1" x14ac:dyDescent="0.25">
      <c r="A42" s="1" t="s">
        <v>130</v>
      </c>
      <c r="B42" s="1"/>
      <c r="C42" s="1"/>
      <c r="D42" s="52"/>
      <c r="E42" s="52"/>
      <c r="F42" s="52"/>
      <c r="G42" s="52"/>
      <c r="H42" s="52"/>
      <c r="I42" s="52"/>
      <c r="J42" s="52"/>
      <c r="K42" s="52"/>
      <c r="L42" s="52"/>
      <c r="M42" s="52"/>
      <c r="N42" s="52"/>
      <c r="O42" s="52"/>
      <c r="P42" s="52"/>
      <c r="Q42" s="52"/>
      <c r="R42" s="52"/>
      <c r="S42" s="52"/>
      <c r="T42" s="52"/>
      <c r="U42" s="52"/>
      <c r="V42" s="52"/>
      <c r="W42" s="52"/>
      <c r="X42" s="52"/>
      <c r="Y42" s="52"/>
      <c r="Z42" s="52"/>
      <c r="AA42" s="52"/>
      <c r="AB42" s="52"/>
      <c r="AC42" s="52"/>
      <c r="AD42" s="52"/>
      <c r="AE42" s="52"/>
      <c r="AF42" s="52"/>
      <c r="AG42" s="52"/>
      <c r="AH42" s="52"/>
      <c r="AI42" s="52"/>
      <c r="AJ42" s="52"/>
      <c r="AK42" s="52"/>
      <c r="AL42" s="52"/>
      <c r="AM42" s="52"/>
      <c r="AN42" s="52"/>
      <c r="AO42" s="52"/>
      <c r="AP42" s="52"/>
      <c r="AQ42" s="52"/>
      <c r="AR42" s="52"/>
      <c r="AS42" s="52"/>
      <c r="AT42" s="52"/>
      <c r="AU42" s="52"/>
      <c r="AV42" s="52"/>
      <c r="AW42" s="52"/>
      <c r="AX42" s="52"/>
      <c r="AY42" s="52"/>
      <c r="AZ42" s="52"/>
      <c r="BA42" s="52"/>
      <c r="BB42" s="52"/>
      <c r="BC42" s="52"/>
      <c r="BD42" s="52"/>
      <c r="BE42" s="52"/>
      <c r="BF42" s="52"/>
      <c r="BG42" s="52"/>
      <c r="BH42" s="52"/>
      <c r="BI42" s="52"/>
      <c r="BJ42" s="52"/>
      <c r="BK42" s="52"/>
      <c r="BL42" s="52"/>
      <c r="BM42" s="52"/>
      <c r="BN42" s="52"/>
      <c r="BO42" s="52"/>
      <c r="BP42" s="52"/>
      <c r="BQ42" s="52"/>
      <c r="BR42" s="52"/>
      <c r="BS42" s="52"/>
      <c r="BT42" s="52"/>
      <c r="BU42" s="52"/>
      <c r="BV42" s="52"/>
      <c r="BW42" s="52"/>
      <c r="BX42" s="52"/>
      <c r="BY42" s="52"/>
      <c r="BZ42" s="52"/>
      <c r="CA42" s="52"/>
      <c r="CB42" s="52"/>
      <c r="CC42" s="52"/>
      <c r="CD42" s="52"/>
      <c r="CE42" s="52"/>
      <c r="CF42" s="52"/>
      <c r="CG42" s="52"/>
      <c r="CH42" s="52"/>
      <c r="CI42" s="52"/>
      <c r="CJ42" s="52"/>
      <c r="CK42" s="52"/>
      <c r="CL42" s="52"/>
      <c r="CM42" s="52"/>
      <c r="CN42" s="52"/>
      <c r="CO42" s="52"/>
      <c r="CP42" s="52"/>
      <c r="CQ42" s="52"/>
      <c r="CR42" s="52"/>
      <c r="CS42" s="52"/>
      <c r="CT42" s="52"/>
      <c r="CU42" s="52"/>
      <c r="CV42" s="52"/>
      <c r="CW42" s="52"/>
      <c r="CX42" s="52"/>
      <c r="CY42" s="52"/>
      <c r="CZ42" s="52"/>
      <c r="DA42" s="52"/>
      <c r="DB42" s="52"/>
      <c r="DC42" s="52"/>
      <c r="DD42" s="52"/>
      <c r="DE42" s="52"/>
      <c r="DF42" s="52"/>
      <c r="DG42" s="52"/>
      <c r="DH42" s="52"/>
      <c r="DI42" s="52"/>
      <c r="DJ42" s="52"/>
      <c r="DK42" s="52"/>
      <c r="DL42" s="52"/>
      <c r="DM42" s="52"/>
      <c r="DN42" s="52"/>
      <c r="DO42" s="52"/>
      <c r="DP42" s="52"/>
      <c r="DQ42" s="52"/>
      <c r="DR42" s="52"/>
      <c r="DS42" s="52"/>
      <c r="DT42" s="52"/>
      <c r="DU42" s="52"/>
      <c r="DV42" s="52"/>
      <c r="DW42" s="52"/>
      <c r="DX42" s="52"/>
      <c r="DY42" s="52"/>
      <c r="DZ42" s="52"/>
      <c r="EA42" s="52"/>
      <c r="EB42" s="52"/>
      <c r="EC42" s="52"/>
      <c r="ED42" s="52"/>
      <c r="EE42" s="52"/>
      <c r="EF42" s="52"/>
      <c r="EG42" s="52"/>
      <c r="EH42" s="52"/>
      <c r="EI42" s="52"/>
      <c r="EJ42" s="52"/>
      <c r="EK42" s="52"/>
      <c r="EL42" s="52"/>
      <c r="EM42" s="52"/>
      <c r="EN42" s="52"/>
      <c r="EO42" s="52"/>
      <c r="EP42" s="52"/>
      <c r="EQ42" s="52"/>
      <c r="ER42" s="52"/>
      <c r="ES42" s="52"/>
      <c r="ET42" s="52"/>
      <c r="EU42" s="52"/>
      <c r="EV42" s="52"/>
      <c r="EW42" s="52"/>
      <c r="EX42" s="52"/>
      <c r="EY42" s="52"/>
      <c r="EZ42" s="52"/>
      <c r="FA42" s="52"/>
      <c r="FB42" s="52"/>
      <c r="FC42" s="52"/>
      <c r="FD42" s="52"/>
      <c r="FE42" s="52"/>
      <c r="FF42" s="52"/>
      <c r="FG42" s="52"/>
      <c r="FH42" s="52"/>
      <c r="FI42" s="52"/>
      <c r="FJ42" s="52"/>
      <c r="FK42" s="52"/>
      <c r="FL42" s="52"/>
      <c r="FM42" s="52"/>
      <c r="FN42" s="52"/>
      <c r="FO42" s="52"/>
      <c r="FP42" s="52"/>
      <c r="FQ42" s="52"/>
      <c r="FR42" s="52"/>
      <c r="FS42" s="52"/>
      <c r="FT42" s="52"/>
      <c r="FU42" s="52"/>
      <c r="FV42" s="52"/>
      <c r="FW42" s="52"/>
      <c r="FX42" s="52"/>
      <c r="FY42" s="52"/>
      <c r="FZ42" s="52"/>
      <c r="GA42" s="52"/>
      <c r="GB42" s="52"/>
      <c r="GC42" s="52"/>
      <c r="GD42" s="52"/>
      <c r="GE42" s="52"/>
      <c r="GF42" s="52"/>
      <c r="GG42" s="52"/>
      <c r="GH42" s="52"/>
      <c r="GI42" s="52"/>
      <c r="GJ42" s="52"/>
      <c r="GK42" s="52"/>
      <c r="GL42" s="52"/>
      <c r="GM42" s="52"/>
      <c r="GN42" s="52"/>
      <c r="GO42" s="52"/>
      <c r="GP42" s="52"/>
      <c r="GQ42" s="52"/>
      <c r="GR42" s="52"/>
      <c r="GS42" s="52"/>
      <c r="GT42" s="52"/>
      <c r="GU42" s="52"/>
      <c r="GV42" s="52"/>
      <c r="GW42" s="52"/>
      <c r="GX42" s="52"/>
      <c r="GY42" s="52"/>
      <c r="GZ42" s="52"/>
      <c r="HA42" s="52"/>
      <c r="HB42" s="52"/>
      <c r="HC42" s="52"/>
      <c r="HD42" s="52"/>
      <c r="HE42" s="52"/>
      <c r="HF42" s="52"/>
      <c r="HG42" s="52"/>
      <c r="HH42" s="52"/>
      <c r="HI42" s="52"/>
      <c r="HJ42" s="52"/>
      <c r="HK42" s="52"/>
      <c r="HL42" s="52"/>
      <c r="HM42" s="52"/>
      <c r="HN42" s="52"/>
      <c r="HO42" s="52"/>
      <c r="HP42" s="52"/>
      <c r="HQ42" s="52"/>
      <c r="HR42" s="52"/>
      <c r="HS42" s="52"/>
      <c r="HT42" s="52"/>
      <c r="HU42" s="52"/>
      <c r="HV42" s="52"/>
      <c r="HW42" s="52"/>
      <c r="HX42" s="52"/>
      <c r="HY42" s="52"/>
      <c r="HZ42" s="52"/>
      <c r="IA42" s="52"/>
      <c r="IB42" s="52"/>
      <c r="IC42" s="52"/>
      <c r="ID42" s="52"/>
      <c r="IE42" s="52"/>
      <c r="IF42" s="52"/>
      <c r="IG42" s="52"/>
      <c r="IH42" s="52"/>
      <c r="II42" s="52"/>
      <c r="IJ42" s="52"/>
      <c r="IK42" s="52"/>
      <c r="IL42" s="52"/>
      <c r="IM42" s="52"/>
      <c r="IN42" s="52"/>
      <c r="IO42" s="52"/>
      <c r="IP42" s="52"/>
      <c r="IQ42" s="52"/>
      <c r="IR42" s="52"/>
      <c r="IS42" s="52"/>
      <c r="IT42" s="52"/>
      <c r="IU42" s="52"/>
      <c r="IV42" s="52"/>
    </row>
    <row r="43" spans="1:256" ht="18.75" customHeight="1" x14ac:dyDescent="0.25">
      <c r="A43" s="2" t="s">
        <v>28</v>
      </c>
      <c r="B43" s="52"/>
      <c r="C43" s="52"/>
      <c r="D43" s="52"/>
      <c r="E43" s="52"/>
      <c r="F43" s="52"/>
      <c r="G43" s="52"/>
      <c r="H43" s="52"/>
      <c r="I43" s="52"/>
      <c r="J43" s="52"/>
      <c r="K43" s="52"/>
      <c r="L43" s="52"/>
      <c r="M43" s="52"/>
      <c r="N43" s="52"/>
      <c r="O43" s="52"/>
      <c r="P43" s="52"/>
      <c r="Q43" s="52"/>
      <c r="R43" s="52"/>
      <c r="S43" s="52"/>
      <c r="T43" s="52"/>
      <c r="U43" s="52"/>
      <c r="V43" s="52"/>
      <c r="W43" s="52"/>
      <c r="X43" s="52"/>
      <c r="Y43" s="52"/>
      <c r="Z43" s="52"/>
      <c r="AA43" s="52"/>
      <c r="AB43" s="52"/>
      <c r="AC43" s="52"/>
      <c r="AD43" s="52"/>
      <c r="AE43" s="52"/>
      <c r="AF43" s="52"/>
      <c r="AG43" s="52"/>
      <c r="AH43" s="52"/>
      <c r="AI43" s="52"/>
      <c r="AJ43" s="52"/>
      <c r="AK43" s="52"/>
      <c r="AL43" s="52"/>
      <c r="AM43" s="52"/>
      <c r="AN43" s="52"/>
      <c r="AO43" s="52"/>
      <c r="AP43" s="52"/>
      <c r="AQ43" s="52"/>
      <c r="AR43" s="52"/>
      <c r="AS43" s="52"/>
      <c r="AT43" s="52"/>
      <c r="AU43" s="52"/>
      <c r="AV43" s="52"/>
      <c r="AW43" s="52"/>
      <c r="AX43" s="52"/>
      <c r="AY43" s="52"/>
      <c r="AZ43" s="52"/>
      <c r="BA43" s="52"/>
      <c r="BB43" s="52"/>
      <c r="BC43" s="52"/>
      <c r="BD43" s="52"/>
      <c r="BE43" s="52"/>
      <c r="BF43" s="52"/>
      <c r="BG43" s="52"/>
      <c r="BH43" s="52"/>
      <c r="BI43" s="52"/>
      <c r="BJ43" s="52"/>
      <c r="BK43" s="52"/>
      <c r="BL43" s="52"/>
      <c r="BM43" s="52"/>
      <c r="BN43" s="52"/>
      <c r="BO43" s="52"/>
      <c r="BP43" s="52"/>
      <c r="BQ43" s="52"/>
      <c r="BR43" s="52"/>
      <c r="BS43" s="52"/>
      <c r="BT43" s="52"/>
      <c r="BU43" s="52"/>
      <c r="BV43" s="52"/>
      <c r="BW43" s="52"/>
      <c r="BX43" s="52"/>
      <c r="BY43" s="52"/>
      <c r="BZ43" s="52"/>
      <c r="CA43" s="52"/>
      <c r="CB43" s="52"/>
      <c r="CC43" s="52"/>
      <c r="CD43" s="52"/>
      <c r="CE43" s="52"/>
      <c r="CF43" s="52"/>
      <c r="CG43" s="52"/>
      <c r="CH43" s="52"/>
      <c r="CI43" s="52"/>
      <c r="CJ43" s="52"/>
      <c r="CK43" s="52"/>
      <c r="CL43" s="52"/>
      <c r="CM43" s="52"/>
      <c r="CN43" s="52"/>
      <c r="CO43" s="52"/>
      <c r="CP43" s="52"/>
      <c r="CQ43" s="52"/>
      <c r="CR43" s="52"/>
      <c r="CS43" s="52"/>
      <c r="CT43" s="52"/>
      <c r="CU43" s="52"/>
      <c r="CV43" s="52"/>
      <c r="CW43" s="52"/>
      <c r="CX43" s="52"/>
      <c r="CY43" s="52"/>
      <c r="CZ43" s="52"/>
      <c r="DA43" s="52"/>
      <c r="DB43" s="52"/>
      <c r="DC43" s="52"/>
      <c r="DD43" s="52"/>
      <c r="DE43" s="52"/>
      <c r="DF43" s="52"/>
      <c r="DG43" s="52"/>
      <c r="DH43" s="52"/>
      <c r="DI43" s="52"/>
      <c r="DJ43" s="52"/>
      <c r="DK43" s="52"/>
      <c r="DL43" s="52"/>
      <c r="DM43" s="52"/>
      <c r="DN43" s="52"/>
      <c r="DO43" s="52"/>
      <c r="DP43" s="52"/>
      <c r="DQ43" s="52"/>
      <c r="DR43" s="52"/>
      <c r="DS43" s="52"/>
      <c r="DT43" s="52"/>
      <c r="DU43" s="52"/>
      <c r="DV43" s="52"/>
      <c r="DW43" s="52"/>
      <c r="DX43" s="52"/>
      <c r="DY43" s="52"/>
      <c r="DZ43" s="52"/>
      <c r="EA43" s="52"/>
      <c r="EB43" s="52"/>
      <c r="EC43" s="52"/>
      <c r="ED43" s="52"/>
      <c r="EE43" s="52"/>
      <c r="EF43" s="52"/>
      <c r="EG43" s="52"/>
      <c r="EH43" s="52"/>
      <c r="EI43" s="52"/>
      <c r="EJ43" s="52"/>
      <c r="EK43" s="52"/>
      <c r="EL43" s="52"/>
      <c r="EM43" s="52"/>
      <c r="EN43" s="52"/>
      <c r="EO43" s="52"/>
      <c r="EP43" s="52"/>
      <c r="EQ43" s="52"/>
      <c r="ER43" s="52"/>
      <c r="ES43" s="52"/>
      <c r="ET43" s="52"/>
      <c r="EU43" s="52"/>
      <c r="EV43" s="52"/>
      <c r="EW43" s="52"/>
      <c r="EX43" s="52"/>
      <c r="EY43" s="52"/>
      <c r="EZ43" s="52"/>
      <c r="FA43" s="52"/>
      <c r="FB43" s="52"/>
      <c r="FC43" s="52"/>
      <c r="FD43" s="52"/>
      <c r="FE43" s="52"/>
      <c r="FF43" s="52"/>
      <c r="FG43" s="52"/>
      <c r="FH43" s="52"/>
      <c r="FI43" s="52"/>
      <c r="FJ43" s="52"/>
      <c r="FK43" s="52"/>
      <c r="FL43" s="52"/>
      <c r="FM43" s="52"/>
      <c r="FN43" s="52"/>
      <c r="FO43" s="52"/>
      <c r="FP43" s="52"/>
      <c r="FQ43" s="52"/>
      <c r="FR43" s="52"/>
      <c r="FS43" s="52"/>
      <c r="FT43" s="52"/>
      <c r="FU43" s="52"/>
      <c r="FV43" s="52"/>
      <c r="FW43" s="52"/>
      <c r="FX43" s="52"/>
      <c r="FY43" s="52"/>
      <c r="FZ43" s="52"/>
      <c r="GA43" s="52"/>
      <c r="GB43" s="52"/>
      <c r="GC43" s="52"/>
      <c r="GD43" s="52"/>
      <c r="GE43" s="52"/>
      <c r="GF43" s="52"/>
      <c r="GG43" s="52"/>
      <c r="GH43" s="52"/>
      <c r="GI43" s="52"/>
      <c r="GJ43" s="52"/>
      <c r="GK43" s="52"/>
      <c r="GL43" s="52"/>
      <c r="GM43" s="52"/>
      <c r="GN43" s="52"/>
      <c r="GO43" s="52"/>
      <c r="GP43" s="52"/>
      <c r="GQ43" s="52"/>
      <c r="GR43" s="52"/>
      <c r="GS43" s="52"/>
      <c r="GT43" s="52"/>
      <c r="GU43" s="52"/>
      <c r="GV43" s="52"/>
      <c r="GW43" s="52"/>
      <c r="GX43" s="52"/>
      <c r="GY43" s="52"/>
      <c r="GZ43" s="52"/>
      <c r="HA43" s="52"/>
      <c r="HB43" s="52"/>
      <c r="HC43" s="52"/>
      <c r="HD43" s="52"/>
      <c r="HE43" s="52"/>
      <c r="HF43" s="52"/>
      <c r="HG43" s="52"/>
      <c r="HH43" s="52"/>
      <c r="HI43" s="52"/>
      <c r="HJ43" s="52"/>
      <c r="HK43" s="52"/>
      <c r="HL43" s="52"/>
      <c r="HM43" s="52"/>
      <c r="HN43" s="52"/>
      <c r="HO43" s="52"/>
      <c r="HP43" s="52"/>
      <c r="HQ43" s="52"/>
      <c r="HR43" s="52"/>
      <c r="HS43" s="52"/>
      <c r="HT43" s="52"/>
      <c r="HU43" s="52"/>
      <c r="HV43" s="52"/>
      <c r="HW43" s="52"/>
      <c r="HX43" s="52"/>
      <c r="HY43" s="52"/>
      <c r="HZ43" s="52"/>
      <c r="IA43" s="52"/>
      <c r="IB43" s="52"/>
      <c r="IC43" s="52"/>
      <c r="ID43" s="52"/>
      <c r="IE43" s="52"/>
      <c r="IF43" s="52"/>
      <c r="IG43" s="52"/>
      <c r="IH43" s="52"/>
      <c r="II43" s="52"/>
      <c r="IJ43" s="52"/>
      <c r="IK43" s="52"/>
      <c r="IL43" s="52"/>
      <c r="IM43" s="52"/>
      <c r="IN43" s="52"/>
      <c r="IO43" s="52"/>
      <c r="IP43" s="52"/>
      <c r="IQ43" s="52"/>
      <c r="IR43" s="52"/>
      <c r="IS43" s="52"/>
      <c r="IT43" s="52"/>
      <c r="IU43" s="52"/>
      <c r="IV43" s="52"/>
    </row>
    <row r="44" spans="1:256" ht="17.25" customHeight="1" x14ac:dyDescent="0.25">
      <c r="A44" s="52" t="s">
        <v>270</v>
      </c>
      <c r="B44" s="52"/>
      <c r="C44" s="52"/>
      <c r="D44" s="52"/>
      <c r="E44" s="52"/>
      <c r="F44" s="52"/>
      <c r="G44" s="52"/>
      <c r="H44" s="52"/>
      <c r="I44" s="52"/>
      <c r="J44" s="52"/>
      <c r="K44" s="52"/>
      <c r="L44" s="52"/>
      <c r="M44" s="52"/>
      <c r="N44" s="52"/>
      <c r="O44" s="52"/>
      <c r="P44" s="52"/>
      <c r="Q44" s="52"/>
      <c r="R44" s="52"/>
      <c r="S44" s="52"/>
      <c r="T44" s="52"/>
      <c r="U44" s="52"/>
      <c r="V44" s="52"/>
      <c r="W44" s="52"/>
      <c r="X44" s="52"/>
      <c r="Y44" s="52"/>
      <c r="Z44" s="52"/>
      <c r="AA44" s="52"/>
      <c r="AB44" s="52"/>
      <c r="AC44" s="52"/>
      <c r="AD44" s="52"/>
      <c r="AE44" s="52"/>
      <c r="AF44" s="52"/>
      <c r="AG44" s="52"/>
      <c r="AH44" s="52"/>
      <c r="AI44" s="52"/>
      <c r="AJ44" s="52"/>
      <c r="AK44" s="52"/>
      <c r="AL44" s="52"/>
      <c r="AM44" s="52"/>
      <c r="AN44" s="52"/>
      <c r="AO44" s="52"/>
      <c r="AP44" s="52"/>
      <c r="AQ44" s="52"/>
      <c r="AR44" s="52"/>
      <c r="AS44" s="52"/>
      <c r="AT44" s="52"/>
      <c r="AU44" s="52"/>
      <c r="AV44" s="52"/>
      <c r="AW44" s="52"/>
      <c r="AX44" s="52"/>
      <c r="AY44" s="52"/>
      <c r="AZ44" s="52"/>
      <c r="BA44" s="52"/>
      <c r="BB44" s="52"/>
      <c r="BC44" s="52"/>
      <c r="BD44" s="52"/>
      <c r="BE44" s="52"/>
      <c r="BF44" s="52"/>
      <c r="BG44" s="52"/>
      <c r="BH44" s="52"/>
      <c r="BI44" s="52"/>
      <c r="BJ44" s="52"/>
      <c r="BK44" s="52"/>
      <c r="BL44" s="52"/>
      <c r="BM44" s="52"/>
      <c r="BN44" s="52"/>
      <c r="BO44" s="52"/>
      <c r="BP44" s="52"/>
      <c r="BQ44" s="52"/>
      <c r="BR44" s="52"/>
      <c r="BS44" s="52"/>
      <c r="BT44" s="52"/>
      <c r="BU44" s="52"/>
      <c r="BV44" s="52"/>
      <c r="BW44" s="52"/>
      <c r="BX44" s="52"/>
      <c r="BY44" s="52"/>
      <c r="BZ44" s="52"/>
      <c r="CA44" s="52"/>
      <c r="CB44" s="52"/>
      <c r="CC44" s="52"/>
      <c r="CD44" s="52"/>
      <c r="CE44" s="52"/>
      <c r="CF44" s="52"/>
      <c r="CG44" s="52"/>
      <c r="CH44" s="52"/>
      <c r="CI44" s="52"/>
      <c r="CJ44" s="52"/>
      <c r="CK44" s="52"/>
      <c r="CL44" s="52"/>
      <c r="CM44" s="52"/>
      <c r="CN44" s="52"/>
      <c r="CO44" s="52"/>
      <c r="CP44" s="52"/>
      <c r="CQ44" s="52"/>
      <c r="CR44" s="52"/>
      <c r="CS44" s="52"/>
      <c r="CT44" s="52"/>
      <c r="CU44" s="52"/>
      <c r="CV44" s="52"/>
      <c r="CW44" s="52"/>
      <c r="CX44" s="52"/>
      <c r="CY44" s="52"/>
      <c r="CZ44" s="52"/>
      <c r="DA44" s="52"/>
      <c r="DB44" s="52"/>
      <c r="DC44" s="52"/>
      <c r="DD44" s="52"/>
      <c r="DE44" s="52"/>
      <c r="DF44" s="52"/>
      <c r="DG44" s="52"/>
      <c r="DH44" s="52"/>
      <c r="DI44" s="52"/>
      <c r="DJ44" s="52"/>
      <c r="DK44" s="52"/>
      <c r="DL44" s="52"/>
      <c r="DM44" s="52"/>
      <c r="DN44" s="52"/>
      <c r="DO44" s="52"/>
      <c r="DP44" s="52"/>
      <c r="DQ44" s="52"/>
      <c r="DR44" s="52"/>
      <c r="DS44" s="52"/>
      <c r="DT44" s="52"/>
      <c r="DU44" s="52"/>
      <c r="DV44" s="52"/>
      <c r="DW44" s="52"/>
      <c r="DX44" s="52"/>
      <c r="DY44" s="52"/>
      <c r="DZ44" s="52"/>
      <c r="EA44" s="52"/>
      <c r="EB44" s="52"/>
      <c r="EC44" s="52"/>
      <c r="ED44" s="52"/>
      <c r="EE44" s="52"/>
      <c r="EF44" s="52"/>
      <c r="EG44" s="52"/>
      <c r="EH44" s="52"/>
      <c r="EI44" s="52"/>
      <c r="EJ44" s="52"/>
      <c r="EK44" s="52"/>
      <c r="EL44" s="52"/>
      <c r="EM44" s="52"/>
      <c r="EN44" s="52"/>
      <c r="EO44" s="52"/>
      <c r="EP44" s="52"/>
      <c r="EQ44" s="52"/>
      <c r="ER44" s="52"/>
      <c r="ES44" s="52"/>
      <c r="ET44" s="52"/>
      <c r="EU44" s="52"/>
      <c r="EV44" s="52"/>
      <c r="EW44" s="52"/>
      <c r="EX44" s="52"/>
      <c r="EY44" s="52"/>
      <c r="EZ44" s="52"/>
      <c r="FA44" s="52"/>
      <c r="FB44" s="52"/>
      <c r="FC44" s="52"/>
      <c r="FD44" s="52"/>
      <c r="FE44" s="52"/>
      <c r="FF44" s="52"/>
      <c r="FG44" s="52"/>
      <c r="FH44" s="52"/>
      <c r="FI44" s="52"/>
      <c r="FJ44" s="52"/>
      <c r="FK44" s="52"/>
      <c r="FL44" s="52"/>
      <c r="FM44" s="52"/>
      <c r="FN44" s="52"/>
      <c r="FO44" s="52"/>
      <c r="FP44" s="52"/>
      <c r="FQ44" s="52"/>
      <c r="FR44" s="52"/>
      <c r="FS44" s="52"/>
      <c r="FT44" s="52"/>
      <c r="FU44" s="52"/>
      <c r="FV44" s="52"/>
      <c r="FW44" s="52"/>
      <c r="FX44" s="52"/>
      <c r="FY44" s="52"/>
      <c r="FZ44" s="52"/>
      <c r="GA44" s="52"/>
      <c r="GB44" s="52"/>
      <c r="GC44" s="52"/>
      <c r="GD44" s="52"/>
      <c r="GE44" s="52"/>
      <c r="GF44" s="52"/>
      <c r="GG44" s="52"/>
      <c r="GH44" s="52"/>
      <c r="GI44" s="52"/>
      <c r="GJ44" s="52"/>
      <c r="GK44" s="52"/>
      <c r="GL44" s="52"/>
      <c r="GM44" s="52"/>
      <c r="GN44" s="52"/>
      <c r="GO44" s="52"/>
      <c r="GP44" s="52"/>
      <c r="GQ44" s="52"/>
      <c r="GR44" s="52"/>
      <c r="GS44" s="52"/>
      <c r="GT44" s="52"/>
      <c r="GU44" s="52"/>
      <c r="GV44" s="52"/>
      <c r="GW44" s="52"/>
      <c r="GX44" s="52"/>
      <c r="GY44" s="52"/>
      <c r="GZ44" s="52"/>
      <c r="HA44" s="52"/>
      <c r="HB44" s="52"/>
      <c r="HC44" s="52"/>
      <c r="HD44" s="52"/>
      <c r="HE44" s="52"/>
      <c r="HF44" s="52"/>
      <c r="HG44" s="52"/>
      <c r="HH44" s="52"/>
      <c r="HI44" s="52"/>
      <c r="HJ44" s="52"/>
      <c r="HK44" s="52"/>
      <c r="HL44" s="52"/>
      <c r="HM44" s="52"/>
      <c r="HN44" s="52"/>
      <c r="HO44" s="52"/>
      <c r="HP44" s="52"/>
      <c r="HQ44" s="52"/>
      <c r="HR44" s="52"/>
      <c r="HS44" s="52"/>
      <c r="HT44" s="52"/>
      <c r="HU44" s="52"/>
      <c r="HV44" s="52"/>
      <c r="HW44" s="52"/>
      <c r="HX44" s="52"/>
      <c r="HY44" s="52"/>
      <c r="HZ44" s="52"/>
      <c r="IA44" s="52"/>
      <c r="IB44" s="52"/>
      <c r="IC44" s="52"/>
      <c r="ID44" s="52"/>
      <c r="IE44" s="52"/>
      <c r="IF44" s="52"/>
      <c r="IG44" s="52"/>
      <c r="IH44" s="52"/>
      <c r="II44" s="52"/>
      <c r="IJ44" s="52"/>
      <c r="IK44" s="52"/>
      <c r="IL44" s="52"/>
      <c r="IM44" s="52"/>
      <c r="IN44" s="52"/>
      <c r="IO44" s="52"/>
      <c r="IP44" s="52"/>
      <c r="IQ44" s="52"/>
      <c r="IR44" s="52"/>
      <c r="IS44" s="52"/>
      <c r="IT44" s="52"/>
      <c r="IU44" s="52"/>
      <c r="IV44" s="52"/>
    </row>
  </sheetData>
  <mergeCells count="48">
    <mergeCell ref="B36:C36"/>
    <mergeCell ref="D36:G36"/>
    <mergeCell ref="B37:C37"/>
    <mergeCell ref="D37:G37"/>
    <mergeCell ref="B38:C38"/>
    <mergeCell ref="D38:G38"/>
    <mergeCell ref="B33:C33"/>
    <mergeCell ref="D33:G33"/>
    <mergeCell ref="B34:C34"/>
    <mergeCell ref="D34:G34"/>
    <mergeCell ref="B35:C35"/>
    <mergeCell ref="D35:G35"/>
    <mergeCell ref="B30:C30"/>
    <mergeCell ref="D30:G30"/>
    <mergeCell ref="B31:C31"/>
    <mergeCell ref="D31:G31"/>
    <mergeCell ref="B32:C32"/>
    <mergeCell ref="D32:G32"/>
    <mergeCell ref="B27:C27"/>
    <mergeCell ref="D27:G27"/>
    <mergeCell ref="B28:C28"/>
    <mergeCell ref="D28:G28"/>
    <mergeCell ref="B29:C29"/>
    <mergeCell ref="D29:G29"/>
    <mergeCell ref="B24:C24"/>
    <mergeCell ref="D24:G24"/>
    <mergeCell ref="B25:C25"/>
    <mergeCell ref="D25:G25"/>
    <mergeCell ref="B26:C26"/>
    <mergeCell ref="D26:G26"/>
    <mergeCell ref="B21:C21"/>
    <mergeCell ref="D21:G21"/>
    <mergeCell ref="B22:C22"/>
    <mergeCell ref="D22:G22"/>
    <mergeCell ref="B23:C23"/>
    <mergeCell ref="D23:G23"/>
    <mergeCell ref="B18:C18"/>
    <mergeCell ref="D18:G18"/>
    <mergeCell ref="B19:C19"/>
    <mergeCell ref="D19:G19"/>
    <mergeCell ref="B20:C20"/>
    <mergeCell ref="D20:G20"/>
    <mergeCell ref="C1:I1"/>
    <mergeCell ref="A12:I12"/>
    <mergeCell ref="A13:I13"/>
    <mergeCell ref="A15:I15"/>
    <mergeCell ref="B17:C17"/>
    <mergeCell ref="D17:G17"/>
  </mergeCells>
  <pageMargins left="0.11811023622047245" right="0.19685039370078741" top="7.874015748031496E-2" bottom="0.19685039370078741" header="0.31496062992125984" footer="0.31496062992125984"/>
  <pageSetup paperSize="9" orientation="portrait" useFirstPageNumber="1" r:id="rId1"/>
  <headerFooter alignWithMargins="0">
    <oddFooter>&amp;CСтраница &amp;P</oddFooter>
  </headerFooter>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4"/>
  <sheetViews>
    <sheetView topLeftCell="A13" zoomScaleNormal="100" workbookViewId="0">
      <selection activeCell="D21" sqref="D21"/>
    </sheetView>
  </sheetViews>
  <sheetFormatPr defaultRowHeight="15.75" x14ac:dyDescent="0.25"/>
  <cols>
    <col min="1" max="1" width="4.7109375" style="1" customWidth="1"/>
    <col min="2" max="2" width="26.140625" style="1" customWidth="1"/>
    <col min="3" max="3" width="33" style="1" customWidth="1"/>
    <col min="4" max="4" width="26.7109375" style="1" customWidth="1"/>
    <col min="5" max="5" width="11.85546875" style="1" customWidth="1"/>
    <col min="6" max="16384" width="9.140625" style="1"/>
  </cols>
  <sheetData>
    <row r="1" spans="1:5" x14ac:dyDescent="0.25">
      <c r="B1" s="188" t="s">
        <v>280</v>
      </c>
      <c r="C1" s="188"/>
      <c r="D1" s="188"/>
    </row>
    <row r="3" spans="1:5" x14ac:dyDescent="0.25">
      <c r="A3" s="92" t="s">
        <v>230</v>
      </c>
      <c r="B3" s="93"/>
      <c r="C3" s="94"/>
      <c r="D3" s="92" t="s">
        <v>231</v>
      </c>
      <c r="E3"/>
    </row>
    <row r="4" spans="1:5" x14ac:dyDescent="0.25">
      <c r="A4" s="95" t="s">
        <v>232</v>
      </c>
      <c r="B4" s="96"/>
      <c r="C4" s="94"/>
      <c r="D4" s="95" t="s">
        <v>233</v>
      </c>
      <c r="E4"/>
    </row>
    <row r="5" spans="1:5" x14ac:dyDescent="0.25">
      <c r="A5" s="97" t="s">
        <v>4</v>
      </c>
      <c r="B5" s="98"/>
      <c r="C5" s="20"/>
      <c r="D5" s="97" t="s">
        <v>183</v>
      </c>
      <c r="E5" s="99"/>
    </row>
    <row r="6" spans="1:5" x14ac:dyDescent="0.25">
      <c r="A6" s="97" t="s">
        <v>235</v>
      </c>
      <c r="B6" s="98"/>
      <c r="C6" s="100"/>
      <c r="D6" s="97" t="s">
        <v>5</v>
      </c>
      <c r="E6" s="101"/>
    </row>
    <row r="7" spans="1:5" x14ac:dyDescent="0.25">
      <c r="A7"/>
      <c r="B7" s="102"/>
      <c r="C7"/>
      <c r="D7" s="97"/>
      <c r="E7" s="99"/>
    </row>
    <row r="8" spans="1:5" x14ac:dyDescent="0.25">
      <c r="A8" s="97" t="s">
        <v>236</v>
      </c>
      <c r="B8" s="98"/>
      <c r="D8" s="97" t="s">
        <v>237</v>
      </c>
      <c r="E8" s="99"/>
    </row>
    <row r="9" spans="1:5" x14ac:dyDescent="0.25">
      <c r="A9" s="97" t="s">
        <v>281</v>
      </c>
      <c r="B9" s="98"/>
      <c r="D9" s="97" t="s">
        <v>282</v>
      </c>
      <c r="E9" s="98"/>
    </row>
    <row r="10" spans="1:5" x14ac:dyDescent="0.25">
      <c r="A10" s="4"/>
      <c r="D10" s="5"/>
      <c r="E10" s="6"/>
    </row>
    <row r="11" spans="1:5" ht="18" customHeight="1" x14ac:dyDescent="0.25">
      <c r="A11" s="189" t="s">
        <v>10</v>
      </c>
      <c r="B11" s="189"/>
      <c r="C11" s="189"/>
      <c r="D11" s="189"/>
      <c r="E11" s="189"/>
    </row>
    <row r="12" spans="1:5" x14ac:dyDescent="0.25">
      <c r="C12" s="120" t="s">
        <v>159</v>
      </c>
    </row>
    <row r="13" spans="1:5" x14ac:dyDescent="0.25">
      <c r="C13" s="7"/>
    </row>
    <row r="14" spans="1:5" ht="35.25" customHeight="1" x14ac:dyDescent="0.25">
      <c r="A14" s="190" t="s">
        <v>298</v>
      </c>
      <c r="B14" s="190"/>
      <c r="C14" s="190"/>
      <c r="D14" s="190"/>
      <c r="E14" s="190"/>
    </row>
    <row r="15" spans="1:5" x14ac:dyDescent="0.25">
      <c r="A15" s="8"/>
      <c r="B15" s="8"/>
      <c r="C15" s="8"/>
      <c r="D15" s="8"/>
      <c r="E15" s="8"/>
    </row>
    <row r="16" spans="1:5" ht="95.25" customHeight="1" x14ac:dyDescent="0.25">
      <c r="A16" s="9" t="s">
        <v>12</v>
      </c>
      <c r="B16" s="9" t="s">
        <v>13</v>
      </c>
      <c r="C16" s="9" t="s">
        <v>14</v>
      </c>
      <c r="D16" s="9" t="s">
        <v>15</v>
      </c>
      <c r="E16" s="9" t="s">
        <v>16</v>
      </c>
    </row>
    <row r="17" spans="1:5" ht="123.75" customHeight="1" x14ac:dyDescent="0.25">
      <c r="A17" s="10">
        <v>1</v>
      </c>
      <c r="B17" s="11" t="s">
        <v>299</v>
      </c>
      <c r="C17" s="11" t="s">
        <v>300</v>
      </c>
      <c r="D17" s="12" t="s">
        <v>301</v>
      </c>
      <c r="E17" s="13">
        <f>1202.35*2.4*1.2*0.805*3.83</f>
        <v>10676.233159199999</v>
      </c>
    </row>
    <row r="18" spans="1:5" ht="57.75" customHeight="1" x14ac:dyDescent="0.25">
      <c r="A18" s="10">
        <v>2</v>
      </c>
      <c r="B18" s="121" t="s">
        <v>17</v>
      </c>
      <c r="C18" s="12" t="s">
        <v>18</v>
      </c>
      <c r="D18" s="12" t="s">
        <v>145</v>
      </c>
      <c r="E18" s="13">
        <f>800*1*0.5*3.83</f>
        <v>1532</v>
      </c>
    </row>
    <row r="19" spans="1:5" ht="48" customHeight="1" x14ac:dyDescent="0.25">
      <c r="A19" s="10">
        <v>3</v>
      </c>
      <c r="B19" s="12" t="s">
        <v>20</v>
      </c>
      <c r="C19" s="15" t="s">
        <v>21</v>
      </c>
      <c r="D19" s="16">
        <f>(E17+E18)*0.1</f>
        <v>1220.8233159199999</v>
      </c>
      <c r="E19" s="17">
        <f>D19</f>
        <v>1220.8233159199999</v>
      </c>
    </row>
    <row r="20" spans="1:5" ht="48" customHeight="1" x14ac:dyDescent="0.25">
      <c r="A20" s="10">
        <v>4</v>
      </c>
      <c r="B20" s="119" t="s">
        <v>80</v>
      </c>
      <c r="C20" s="12" t="s">
        <v>89</v>
      </c>
      <c r="D20" s="16"/>
      <c r="E20" s="17">
        <v>16473.330000000002</v>
      </c>
    </row>
    <row r="21" spans="1:5" ht="48" customHeight="1" x14ac:dyDescent="0.25">
      <c r="A21" s="10">
        <v>5</v>
      </c>
      <c r="B21" s="119" t="s">
        <v>23</v>
      </c>
      <c r="C21" s="118"/>
      <c r="D21" s="16"/>
      <c r="E21" s="17">
        <v>23675</v>
      </c>
    </row>
    <row r="22" spans="1:5" x14ac:dyDescent="0.25">
      <c r="A22" s="28">
        <v>6</v>
      </c>
      <c r="B22" s="19" t="s">
        <v>24</v>
      </c>
      <c r="C22" s="15"/>
      <c r="D22" s="15" t="s">
        <v>287</v>
      </c>
      <c r="E22" s="17">
        <f>E19+E18+E17+E20+E21</f>
        <v>53577.386475120002</v>
      </c>
    </row>
    <row r="23" spans="1:5" x14ac:dyDescent="0.25">
      <c r="A23" s="28">
        <v>7</v>
      </c>
      <c r="B23" s="19" t="s">
        <v>249</v>
      </c>
      <c r="C23" s="15"/>
      <c r="D23" s="15" t="s">
        <v>288</v>
      </c>
      <c r="E23" s="17">
        <f>ROUND(E22*20%,2)</f>
        <v>10715.48</v>
      </c>
    </row>
    <row r="24" spans="1:5" x14ac:dyDescent="0.25">
      <c r="A24" s="28">
        <v>8</v>
      </c>
      <c r="B24" s="19" t="s">
        <v>26</v>
      </c>
      <c r="C24" s="15"/>
      <c r="D24" s="15" t="s">
        <v>289</v>
      </c>
      <c r="E24" s="17">
        <f>E22+E23</f>
        <v>64292.866475119998</v>
      </c>
    </row>
    <row r="25" spans="1:5" x14ac:dyDescent="0.25">
      <c r="A25" s="20"/>
      <c r="B25" s="21"/>
      <c r="C25" s="22"/>
      <c r="D25" s="22"/>
      <c r="E25" s="23"/>
    </row>
    <row r="26" spans="1:5" x14ac:dyDescent="0.25">
      <c r="A26" s="1" t="s">
        <v>2</v>
      </c>
    </row>
    <row r="27" spans="1:5" x14ac:dyDescent="0.25">
      <c r="A27" s="1" t="s">
        <v>27</v>
      </c>
    </row>
    <row r="28" spans="1:5" x14ac:dyDescent="0.25">
      <c r="A28" s="1" t="s">
        <v>31</v>
      </c>
    </row>
    <row r="29" spans="1:5" x14ac:dyDescent="0.25">
      <c r="A29" s="4" t="s">
        <v>28</v>
      </c>
    </row>
    <row r="30" spans="1:5" x14ac:dyDescent="0.25">
      <c r="A30" s="1" t="s">
        <v>260</v>
      </c>
    </row>
    <row r="34" spans="5:5" x14ac:dyDescent="0.25">
      <c r="E34" s="1" t="s">
        <v>30</v>
      </c>
    </row>
  </sheetData>
  <mergeCells count="3">
    <mergeCell ref="B1:D1"/>
    <mergeCell ref="A11:E11"/>
    <mergeCell ref="A14:E14"/>
  </mergeCells>
  <pageMargins left="0.19685039370078741" right="0.19685039370078741" top="0.19685039370078741" bottom="0.19685039370078741" header="0.51181102362204722" footer="0.51181102362204722"/>
  <pageSetup paperSize="9" orientation="portrait" r:id="rId1"/>
  <headerFooter alignWithMargins="0"/>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4"/>
  <sheetViews>
    <sheetView topLeftCell="A10" zoomScaleNormal="100" workbookViewId="0">
      <selection activeCell="D17" sqref="D17"/>
    </sheetView>
  </sheetViews>
  <sheetFormatPr defaultRowHeight="15.75" x14ac:dyDescent="0.25"/>
  <cols>
    <col min="1" max="1" width="4.7109375" style="1" customWidth="1"/>
    <col min="2" max="2" width="26.140625" style="1" customWidth="1"/>
    <col min="3" max="3" width="33" style="1" customWidth="1"/>
    <col min="4" max="4" width="26.7109375" style="1" customWidth="1"/>
    <col min="5" max="5" width="11.85546875" style="1" customWidth="1"/>
    <col min="6" max="16384" width="9.140625" style="1"/>
  </cols>
  <sheetData>
    <row r="1" spans="1:5" x14ac:dyDescent="0.25">
      <c r="B1" s="188" t="s">
        <v>280</v>
      </c>
      <c r="C1" s="188"/>
      <c r="D1" s="188"/>
    </row>
    <row r="3" spans="1:5" x14ac:dyDescent="0.25">
      <c r="A3" s="92" t="s">
        <v>230</v>
      </c>
      <c r="B3" s="93"/>
      <c r="C3" s="94"/>
      <c r="D3" s="92" t="s">
        <v>231</v>
      </c>
      <c r="E3"/>
    </row>
    <row r="4" spans="1:5" x14ac:dyDescent="0.25">
      <c r="A4" s="95" t="s">
        <v>232</v>
      </c>
      <c r="B4" s="96"/>
      <c r="C4" s="94"/>
      <c r="D4" s="95" t="s">
        <v>233</v>
      </c>
      <c r="E4"/>
    </row>
    <row r="5" spans="1:5" x14ac:dyDescent="0.25">
      <c r="A5" s="97" t="s">
        <v>4</v>
      </c>
      <c r="B5" s="98"/>
      <c r="C5" s="20"/>
      <c r="D5" s="97" t="s">
        <v>183</v>
      </c>
      <c r="E5" s="99"/>
    </row>
    <row r="6" spans="1:5" x14ac:dyDescent="0.25">
      <c r="A6" s="97" t="s">
        <v>235</v>
      </c>
      <c r="B6" s="98"/>
      <c r="C6" s="100"/>
      <c r="D6" s="97" t="s">
        <v>5</v>
      </c>
      <c r="E6" s="101"/>
    </row>
    <row r="7" spans="1:5" x14ac:dyDescent="0.25">
      <c r="A7"/>
      <c r="B7" s="102"/>
      <c r="C7"/>
      <c r="D7" s="97"/>
      <c r="E7" s="99"/>
    </row>
    <row r="8" spans="1:5" x14ac:dyDescent="0.25">
      <c r="A8" s="97" t="s">
        <v>236</v>
      </c>
      <c r="B8" s="98"/>
      <c r="D8" s="97" t="s">
        <v>237</v>
      </c>
      <c r="E8" s="99"/>
    </row>
    <row r="9" spans="1:5" x14ac:dyDescent="0.25">
      <c r="A9" s="97" t="s">
        <v>281</v>
      </c>
      <c r="B9" s="98"/>
      <c r="D9" s="97" t="s">
        <v>282</v>
      </c>
      <c r="E9" s="98"/>
    </row>
    <row r="10" spans="1:5" x14ac:dyDescent="0.25">
      <c r="A10" s="4"/>
      <c r="D10" s="5"/>
      <c r="E10" s="6"/>
    </row>
    <row r="11" spans="1:5" ht="18" customHeight="1" x14ac:dyDescent="0.25">
      <c r="A11" s="189" t="s">
        <v>10</v>
      </c>
      <c r="B11" s="189"/>
      <c r="C11" s="189"/>
      <c r="D11" s="189"/>
      <c r="E11" s="189"/>
    </row>
    <row r="12" spans="1:5" x14ac:dyDescent="0.25">
      <c r="C12" s="122" t="s">
        <v>159</v>
      </c>
    </row>
    <row r="13" spans="1:5" x14ac:dyDescent="0.25">
      <c r="C13" s="7"/>
    </row>
    <row r="14" spans="1:5" ht="35.25" customHeight="1" x14ac:dyDescent="0.25">
      <c r="A14" s="190" t="s">
        <v>305</v>
      </c>
      <c r="B14" s="190"/>
      <c r="C14" s="190"/>
      <c r="D14" s="190"/>
      <c r="E14" s="190"/>
    </row>
    <row r="15" spans="1:5" x14ac:dyDescent="0.25">
      <c r="A15" s="8"/>
      <c r="B15" s="8"/>
      <c r="C15" s="8"/>
      <c r="D15" s="8"/>
      <c r="E15" s="8"/>
    </row>
    <row r="16" spans="1:5" ht="95.25" customHeight="1" x14ac:dyDescent="0.25">
      <c r="A16" s="9" t="s">
        <v>12</v>
      </c>
      <c r="B16" s="9" t="s">
        <v>13</v>
      </c>
      <c r="C16" s="9" t="s">
        <v>14</v>
      </c>
      <c r="D16" s="9" t="s">
        <v>15</v>
      </c>
      <c r="E16" s="9" t="s">
        <v>16</v>
      </c>
    </row>
    <row r="17" spans="1:5" ht="123.75" customHeight="1" x14ac:dyDescent="0.25">
      <c r="A17" s="10">
        <v>1</v>
      </c>
      <c r="B17" s="11" t="s">
        <v>302</v>
      </c>
      <c r="C17" s="11" t="s">
        <v>303</v>
      </c>
      <c r="D17" s="12" t="s">
        <v>304</v>
      </c>
      <c r="E17" s="13">
        <f>2928.56*2.4*1.2*0.805*3.83</f>
        <v>26004.066520320004</v>
      </c>
    </row>
    <row r="18" spans="1:5" ht="57.75" customHeight="1" x14ac:dyDescent="0.25">
      <c r="A18" s="10">
        <v>2</v>
      </c>
      <c r="B18" s="123" t="s">
        <v>17</v>
      </c>
      <c r="C18" s="12" t="s">
        <v>18</v>
      </c>
      <c r="D18" s="12" t="s">
        <v>145</v>
      </c>
      <c r="E18" s="13">
        <f>800*1*0.5*3.83</f>
        <v>1532</v>
      </c>
    </row>
    <row r="19" spans="1:5" ht="48" customHeight="1" x14ac:dyDescent="0.25">
      <c r="A19" s="10">
        <v>3</v>
      </c>
      <c r="B19" s="12" t="s">
        <v>20</v>
      </c>
      <c r="C19" s="15" t="s">
        <v>21</v>
      </c>
      <c r="D19" s="16">
        <f>(E17+E18)*0.1</f>
        <v>2753.6066520320005</v>
      </c>
      <c r="E19" s="17">
        <f>D19</f>
        <v>2753.6066520320005</v>
      </c>
    </row>
    <row r="20" spans="1:5" ht="48" customHeight="1" x14ac:dyDescent="0.25">
      <c r="A20" s="10">
        <v>4</v>
      </c>
      <c r="B20" s="119" t="s">
        <v>80</v>
      </c>
      <c r="C20" s="12" t="s">
        <v>89</v>
      </c>
      <c r="D20" s="16"/>
      <c r="E20" s="17">
        <v>9341.59</v>
      </c>
    </row>
    <row r="21" spans="1:5" ht="48" customHeight="1" x14ac:dyDescent="0.25">
      <c r="A21" s="10">
        <v>5</v>
      </c>
      <c r="B21" s="119" t="s">
        <v>23</v>
      </c>
      <c r="C21" s="118"/>
      <c r="D21" s="16"/>
      <c r="E21" s="17">
        <v>38107</v>
      </c>
    </row>
    <row r="22" spans="1:5" x14ac:dyDescent="0.25">
      <c r="A22" s="28">
        <v>6</v>
      </c>
      <c r="B22" s="19" t="s">
        <v>24</v>
      </c>
      <c r="C22" s="15"/>
      <c r="D22" s="15" t="s">
        <v>287</v>
      </c>
      <c r="E22" s="17">
        <f>E19+E18+E17+E20+E21</f>
        <v>77738.263172352003</v>
      </c>
    </row>
    <row r="23" spans="1:5" x14ac:dyDescent="0.25">
      <c r="A23" s="28">
        <v>7</v>
      </c>
      <c r="B23" s="19" t="s">
        <v>249</v>
      </c>
      <c r="C23" s="15"/>
      <c r="D23" s="15" t="s">
        <v>288</v>
      </c>
      <c r="E23" s="17">
        <f>ROUND(E22*20%,2)</f>
        <v>15547.65</v>
      </c>
    </row>
    <row r="24" spans="1:5" x14ac:dyDescent="0.25">
      <c r="A24" s="28">
        <v>8</v>
      </c>
      <c r="B24" s="19" t="s">
        <v>26</v>
      </c>
      <c r="C24" s="15"/>
      <c r="D24" s="15" t="s">
        <v>289</v>
      </c>
      <c r="E24" s="17">
        <f>E22+E23</f>
        <v>93285.913172351997</v>
      </c>
    </row>
    <row r="25" spans="1:5" x14ac:dyDescent="0.25">
      <c r="A25" s="20"/>
      <c r="B25" s="21"/>
      <c r="C25" s="22"/>
      <c r="D25" s="22"/>
      <c r="E25" s="23"/>
    </row>
    <row r="26" spans="1:5" x14ac:dyDescent="0.25">
      <c r="A26" s="1" t="s">
        <v>2</v>
      </c>
    </row>
    <row r="27" spans="1:5" x14ac:dyDescent="0.25">
      <c r="A27" s="1" t="s">
        <v>27</v>
      </c>
    </row>
    <row r="28" spans="1:5" x14ac:dyDescent="0.25">
      <c r="A28" s="1" t="s">
        <v>31</v>
      </c>
    </row>
    <row r="29" spans="1:5" x14ac:dyDescent="0.25">
      <c r="A29" s="4" t="s">
        <v>28</v>
      </c>
    </row>
    <row r="30" spans="1:5" x14ac:dyDescent="0.25">
      <c r="A30" s="1" t="s">
        <v>260</v>
      </c>
    </row>
    <row r="34" spans="5:5" x14ac:dyDescent="0.25">
      <c r="E34" s="1" t="s">
        <v>30</v>
      </c>
    </row>
  </sheetData>
  <mergeCells count="3">
    <mergeCell ref="B1:D1"/>
    <mergeCell ref="A11:E11"/>
    <mergeCell ref="A14:E14"/>
  </mergeCells>
  <pageMargins left="0.19685039370078741" right="0.19685039370078741" top="0.19685039370078741" bottom="0.19685039370078741" header="0.51181102362204722" footer="0.51181102362204722"/>
  <pageSetup paperSize="9" orientation="portrait" r:id="rId1"/>
  <headerFooter alignWithMargins="0"/>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2"/>
  <sheetViews>
    <sheetView topLeftCell="A10" zoomScaleNormal="100" workbookViewId="0">
      <selection activeCell="A15" sqref="A15"/>
    </sheetView>
  </sheetViews>
  <sheetFormatPr defaultRowHeight="15.75" x14ac:dyDescent="0.25"/>
  <cols>
    <col min="1" max="1" width="4.7109375" style="1" customWidth="1"/>
    <col min="2" max="2" width="26.140625" style="1" customWidth="1"/>
    <col min="3" max="3" width="33" style="1" customWidth="1"/>
    <col min="4" max="4" width="26.7109375" style="1" customWidth="1"/>
    <col min="5" max="5" width="11.85546875" style="1" customWidth="1"/>
    <col min="6" max="16384" width="9.140625" style="1"/>
  </cols>
  <sheetData>
    <row r="1" spans="1:5" x14ac:dyDescent="0.25">
      <c r="B1" s="188" t="s">
        <v>280</v>
      </c>
      <c r="C1" s="188"/>
      <c r="D1" s="188"/>
    </row>
    <row r="3" spans="1:5" x14ac:dyDescent="0.25">
      <c r="A3" s="92" t="s">
        <v>230</v>
      </c>
      <c r="B3" s="93"/>
      <c r="C3" s="94"/>
      <c r="D3" s="92" t="s">
        <v>231</v>
      </c>
      <c r="E3"/>
    </row>
    <row r="4" spans="1:5" x14ac:dyDescent="0.25">
      <c r="A4" s="95" t="s">
        <v>232</v>
      </c>
      <c r="B4" s="96"/>
      <c r="C4" s="94"/>
      <c r="D4" s="95" t="s">
        <v>233</v>
      </c>
      <c r="E4"/>
    </row>
    <row r="5" spans="1:5" x14ac:dyDescent="0.25">
      <c r="A5" s="97" t="s">
        <v>4</v>
      </c>
      <c r="B5" s="98"/>
      <c r="C5" s="20"/>
      <c r="D5" s="97" t="s">
        <v>183</v>
      </c>
      <c r="E5" s="99"/>
    </row>
    <row r="6" spans="1:5" x14ac:dyDescent="0.25">
      <c r="A6" s="97" t="s">
        <v>235</v>
      </c>
      <c r="B6" s="98"/>
      <c r="C6" s="100"/>
      <c r="D6" s="97" t="s">
        <v>5</v>
      </c>
      <c r="E6" s="101"/>
    </row>
    <row r="7" spans="1:5" x14ac:dyDescent="0.25">
      <c r="A7"/>
      <c r="B7" s="102"/>
      <c r="C7"/>
      <c r="D7" s="97"/>
      <c r="E7" s="99"/>
    </row>
    <row r="8" spans="1:5" x14ac:dyDescent="0.25">
      <c r="A8" s="97" t="s">
        <v>236</v>
      </c>
      <c r="B8" s="98"/>
      <c r="D8" s="97" t="s">
        <v>237</v>
      </c>
      <c r="E8" s="99"/>
    </row>
    <row r="9" spans="1:5" x14ac:dyDescent="0.25">
      <c r="A9" s="97" t="s">
        <v>281</v>
      </c>
      <c r="B9" s="98"/>
      <c r="D9" s="97" t="s">
        <v>282</v>
      </c>
      <c r="E9" s="98"/>
    </row>
    <row r="10" spans="1:5" x14ac:dyDescent="0.25">
      <c r="A10" s="4"/>
      <c r="D10" s="5"/>
      <c r="E10" s="6"/>
    </row>
    <row r="11" spans="1:5" ht="18" customHeight="1" x14ac:dyDescent="0.25">
      <c r="A11" s="189" t="s">
        <v>10</v>
      </c>
      <c r="B11" s="189"/>
      <c r="C11" s="189"/>
      <c r="D11" s="189"/>
      <c r="E11" s="189"/>
    </row>
    <row r="12" spans="1:5" x14ac:dyDescent="0.25">
      <c r="C12" s="124" t="s">
        <v>159</v>
      </c>
    </row>
    <row r="13" spans="1:5" x14ac:dyDescent="0.25">
      <c r="C13" s="7"/>
    </row>
    <row r="14" spans="1:5" ht="35.25" customHeight="1" x14ac:dyDescent="0.25">
      <c r="A14" s="190" t="s">
        <v>309</v>
      </c>
      <c r="B14" s="190"/>
      <c r="C14" s="190"/>
      <c r="D14" s="190"/>
      <c r="E14" s="190"/>
    </row>
    <row r="15" spans="1:5" x14ac:dyDescent="0.25">
      <c r="A15" s="8"/>
      <c r="B15" s="8"/>
      <c r="C15" s="8"/>
      <c r="D15" s="8"/>
      <c r="E15" s="8"/>
    </row>
    <row r="16" spans="1:5" ht="95.25" customHeight="1" x14ac:dyDescent="0.25">
      <c r="A16" s="9" t="s">
        <v>12</v>
      </c>
      <c r="B16" s="9" t="s">
        <v>13</v>
      </c>
      <c r="C16" s="9" t="s">
        <v>14</v>
      </c>
      <c r="D16" s="9" t="s">
        <v>15</v>
      </c>
      <c r="E16" s="9" t="s">
        <v>16</v>
      </c>
    </row>
    <row r="17" spans="1:5" ht="123.75" customHeight="1" x14ac:dyDescent="0.25">
      <c r="A17" s="10">
        <v>1</v>
      </c>
      <c r="B17" s="11" t="s">
        <v>306</v>
      </c>
      <c r="C17" s="11" t="s">
        <v>307</v>
      </c>
      <c r="D17" s="12" t="s">
        <v>308</v>
      </c>
      <c r="E17" s="13">
        <f>1185.17*2.4*1.2*0.805*3.83</f>
        <v>10523.683830240001</v>
      </c>
    </row>
    <row r="18" spans="1:5" ht="57.75" customHeight="1" x14ac:dyDescent="0.25">
      <c r="A18" s="10">
        <v>2</v>
      </c>
      <c r="B18" s="125" t="s">
        <v>17</v>
      </c>
      <c r="C18" s="12" t="s">
        <v>18</v>
      </c>
      <c r="D18" s="12" t="s">
        <v>145</v>
      </c>
      <c r="E18" s="13">
        <f>800*1*0.5*3.83</f>
        <v>1532</v>
      </c>
    </row>
    <row r="19" spans="1:5" ht="48" customHeight="1" x14ac:dyDescent="0.25">
      <c r="A19" s="10">
        <v>3</v>
      </c>
      <c r="B19" s="12" t="s">
        <v>20</v>
      </c>
      <c r="C19" s="15" t="s">
        <v>21</v>
      </c>
      <c r="D19" s="16">
        <f>(E17+E18)*0.1</f>
        <v>1205.5683830240002</v>
      </c>
      <c r="E19" s="17">
        <f>D19</f>
        <v>1205.5683830240002</v>
      </c>
    </row>
    <row r="20" spans="1:5" x14ac:dyDescent="0.25">
      <c r="A20" s="28">
        <v>4</v>
      </c>
      <c r="B20" s="19" t="s">
        <v>24</v>
      </c>
      <c r="C20" s="15"/>
      <c r="D20" s="15" t="s">
        <v>257</v>
      </c>
      <c r="E20" s="17">
        <f>E19+E18+E17</f>
        <v>13261.252213264001</v>
      </c>
    </row>
    <row r="21" spans="1:5" x14ac:dyDescent="0.25">
      <c r="A21" s="28">
        <v>5</v>
      </c>
      <c r="B21" s="19" t="s">
        <v>249</v>
      </c>
      <c r="C21" s="15"/>
      <c r="D21" s="15" t="s">
        <v>258</v>
      </c>
      <c r="E21" s="17">
        <f>ROUND(E20*20%,2)</f>
        <v>2652.25</v>
      </c>
    </row>
    <row r="22" spans="1:5" x14ac:dyDescent="0.25">
      <c r="A22" s="28">
        <v>6</v>
      </c>
      <c r="B22" s="19" t="s">
        <v>26</v>
      </c>
      <c r="C22" s="15"/>
      <c r="D22" s="15" t="s">
        <v>259</v>
      </c>
      <c r="E22" s="17">
        <f>E20+E21</f>
        <v>15913.502213264001</v>
      </c>
    </row>
    <row r="23" spans="1:5" x14ac:dyDescent="0.25">
      <c r="A23" s="20"/>
      <c r="B23" s="21"/>
      <c r="C23" s="22"/>
      <c r="D23" s="22"/>
      <c r="E23" s="23"/>
    </row>
    <row r="24" spans="1:5" x14ac:dyDescent="0.25">
      <c r="A24" s="1" t="s">
        <v>2</v>
      </c>
    </row>
    <row r="25" spans="1:5" x14ac:dyDescent="0.25">
      <c r="A25" s="1" t="s">
        <v>27</v>
      </c>
    </row>
    <row r="26" spans="1:5" x14ac:dyDescent="0.25">
      <c r="A26" s="1" t="s">
        <v>31</v>
      </c>
    </row>
    <row r="27" spans="1:5" x14ac:dyDescent="0.25">
      <c r="A27" s="4" t="s">
        <v>28</v>
      </c>
    </row>
    <row r="28" spans="1:5" x14ac:dyDescent="0.25">
      <c r="A28" s="1" t="s">
        <v>260</v>
      </c>
    </row>
    <row r="32" spans="1:5" x14ac:dyDescent="0.25">
      <c r="E32" s="1" t="s">
        <v>30</v>
      </c>
    </row>
  </sheetData>
  <mergeCells count="3">
    <mergeCell ref="B1:D1"/>
    <mergeCell ref="A11:E11"/>
    <mergeCell ref="A14:E14"/>
  </mergeCells>
  <pageMargins left="0.19685039370078741" right="0.19685039370078741" top="0.19685039370078741" bottom="0.19685039370078741" header="0.51181102362204722" footer="0.51181102362204722"/>
  <pageSetup paperSize="9" orientation="portrait" r:id="rId1"/>
  <headerFooter alignWithMargins="0"/>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4"/>
  <sheetViews>
    <sheetView topLeftCell="A13" zoomScaleNormal="100" workbookViewId="0">
      <selection activeCell="D8" sqref="D8"/>
    </sheetView>
  </sheetViews>
  <sheetFormatPr defaultRowHeight="15.75" x14ac:dyDescent="0.25"/>
  <cols>
    <col min="1" max="1" width="4.7109375" style="1" customWidth="1"/>
    <col min="2" max="2" width="26.140625" style="1" customWidth="1"/>
    <col min="3" max="3" width="33" style="1" customWidth="1"/>
    <col min="4" max="4" width="26.7109375" style="1" customWidth="1"/>
    <col min="5" max="5" width="11.85546875" style="1" customWidth="1"/>
    <col min="6" max="16384" width="9.140625" style="1"/>
  </cols>
  <sheetData>
    <row r="1" spans="1:5" x14ac:dyDescent="0.25">
      <c r="B1" s="188" t="s">
        <v>280</v>
      </c>
      <c r="C1" s="188"/>
      <c r="D1" s="188"/>
    </row>
    <row r="3" spans="1:5" x14ac:dyDescent="0.25">
      <c r="A3" s="92" t="s">
        <v>230</v>
      </c>
      <c r="B3" s="93"/>
      <c r="C3" s="94"/>
      <c r="D3" s="92" t="s">
        <v>231</v>
      </c>
      <c r="E3"/>
    </row>
    <row r="4" spans="1:5" x14ac:dyDescent="0.25">
      <c r="A4" s="95" t="s">
        <v>232</v>
      </c>
      <c r="B4" s="96"/>
      <c r="C4" s="94"/>
      <c r="D4" s="95" t="s">
        <v>233</v>
      </c>
      <c r="E4"/>
    </row>
    <row r="5" spans="1:5" x14ac:dyDescent="0.25">
      <c r="A5" s="97" t="s">
        <v>4</v>
      </c>
      <c r="B5" s="98"/>
      <c r="C5" s="20"/>
      <c r="D5" s="97" t="s">
        <v>111</v>
      </c>
      <c r="E5" s="99"/>
    </row>
    <row r="6" spans="1:5" x14ac:dyDescent="0.25">
      <c r="A6" s="97" t="s">
        <v>235</v>
      </c>
      <c r="B6" s="98"/>
      <c r="C6" s="100"/>
      <c r="D6" s="97" t="s">
        <v>320</v>
      </c>
      <c r="E6" s="101"/>
    </row>
    <row r="7" spans="1:5" x14ac:dyDescent="0.25">
      <c r="A7"/>
      <c r="B7" s="102"/>
      <c r="C7"/>
      <c r="D7" s="97"/>
      <c r="E7" s="99"/>
    </row>
    <row r="8" spans="1:5" x14ac:dyDescent="0.25">
      <c r="A8" s="97" t="s">
        <v>236</v>
      </c>
      <c r="B8" s="98"/>
      <c r="D8" s="97" t="s">
        <v>319</v>
      </c>
      <c r="E8" s="99"/>
    </row>
    <row r="9" spans="1:5" x14ac:dyDescent="0.25">
      <c r="A9" s="97" t="s">
        <v>281</v>
      </c>
      <c r="B9" s="98"/>
      <c r="D9" s="97" t="s">
        <v>282</v>
      </c>
      <c r="E9" s="98"/>
    </row>
    <row r="10" spans="1:5" x14ac:dyDescent="0.25">
      <c r="A10" s="4"/>
      <c r="D10" s="5"/>
      <c r="E10" s="6"/>
    </row>
    <row r="11" spans="1:5" ht="18" customHeight="1" x14ac:dyDescent="0.25">
      <c r="A11" s="189" t="s">
        <v>10</v>
      </c>
      <c r="B11" s="189"/>
      <c r="C11" s="189"/>
      <c r="D11" s="189"/>
      <c r="E11" s="189"/>
    </row>
    <row r="12" spans="1:5" x14ac:dyDescent="0.25">
      <c r="C12" s="127" t="s">
        <v>159</v>
      </c>
    </row>
    <row r="13" spans="1:5" x14ac:dyDescent="0.25">
      <c r="C13" s="7"/>
    </row>
    <row r="14" spans="1:5" ht="35.25" customHeight="1" x14ac:dyDescent="0.25">
      <c r="A14" s="190" t="s">
        <v>318</v>
      </c>
      <c r="B14" s="190"/>
      <c r="C14" s="190"/>
      <c r="D14" s="190"/>
      <c r="E14" s="190"/>
    </row>
    <row r="15" spans="1:5" x14ac:dyDescent="0.25">
      <c r="A15" s="8"/>
      <c r="B15" s="8"/>
      <c r="C15" s="8"/>
      <c r="D15" s="8"/>
      <c r="E15" s="8"/>
    </row>
    <row r="16" spans="1:5" ht="95.25" customHeight="1" x14ac:dyDescent="0.25">
      <c r="A16" s="9" t="s">
        <v>12</v>
      </c>
      <c r="B16" s="9" t="s">
        <v>13</v>
      </c>
      <c r="C16" s="9" t="s">
        <v>14</v>
      </c>
      <c r="D16" s="9" t="s">
        <v>15</v>
      </c>
      <c r="E16" s="9" t="s">
        <v>16</v>
      </c>
    </row>
    <row r="17" spans="1:5" ht="123.75" customHeight="1" x14ac:dyDescent="0.25">
      <c r="A17" s="10">
        <v>1</v>
      </c>
      <c r="B17" s="11" t="s">
        <v>315</v>
      </c>
      <c r="C17" s="11" t="s">
        <v>316</v>
      </c>
      <c r="D17" s="12" t="s">
        <v>317</v>
      </c>
      <c r="E17" s="13">
        <f>2164.93*2.4*1.2*0.805*3.83</f>
        <v>19223.43531696</v>
      </c>
    </row>
    <row r="18" spans="1:5" ht="57.75" customHeight="1" x14ac:dyDescent="0.25">
      <c r="A18" s="10">
        <v>2</v>
      </c>
      <c r="B18" s="128" t="s">
        <v>17</v>
      </c>
      <c r="C18" s="12" t="s">
        <v>18</v>
      </c>
      <c r="D18" s="12" t="s">
        <v>145</v>
      </c>
      <c r="E18" s="13">
        <f>800*1*0.5*3.83</f>
        <v>1532</v>
      </c>
    </row>
    <row r="19" spans="1:5" ht="48" customHeight="1" x14ac:dyDescent="0.25">
      <c r="A19" s="10">
        <v>3</v>
      </c>
      <c r="B19" s="12" t="s">
        <v>20</v>
      </c>
      <c r="C19" s="15" t="s">
        <v>21</v>
      </c>
      <c r="D19" s="16">
        <f>(E17+E18)*0.1</f>
        <v>2075.5435316960002</v>
      </c>
      <c r="E19" s="17">
        <f>D19</f>
        <v>2075.5435316960002</v>
      </c>
    </row>
    <row r="20" spans="1:5" ht="48" customHeight="1" x14ac:dyDescent="0.25">
      <c r="A20" s="10">
        <v>4</v>
      </c>
      <c r="B20" s="119" t="s">
        <v>80</v>
      </c>
      <c r="C20" s="12" t="s">
        <v>89</v>
      </c>
      <c r="D20" s="16"/>
      <c r="E20" s="17">
        <v>5000</v>
      </c>
    </row>
    <row r="21" spans="1:5" ht="48" customHeight="1" x14ac:dyDescent="0.25">
      <c r="A21" s="10">
        <v>5</v>
      </c>
      <c r="B21" s="119" t="s">
        <v>23</v>
      </c>
      <c r="C21" s="118"/>
      <c r="D21" s="16"/>
      <c r="E21" s="17">
        <v>59824</v>
      </c>
    </row>
    <row r="22" spans="1:5" x14ac:dyDescent="0.25">
      <c r="A22" s="28">
        <v>6</v>
      </c>
      <c r="B22" s="19" t="s">
        <v>24</v>
      </c>
      <c r="C22" s="15"/>
      <c r="D22" s="15" t="s">
        <v>287</v>
      </c>
      <c r="E22" s="17">
        <f>E19+E18+E17+E20+E21</f>
        <v>87654.978848655999</v>
      </c>
    </row>
    <row r="23" spans="1:5" x14ac:dyDescent="0.25">
      <c r="A23" s="28">
        <v>7</v>
      </c>
      <c r="B23" s="19" t="s">
        <v>249</v>
      </c>
      <c r="C23" s="15"/>
      <c r="D23" s="15" t="s">
        <v>288</v>
      </c>
      <c r="E23" s="17">
        <f>ROUND(E22*20%,2)</f>
        <v>17531</v>
      </c>
    </row>
    <row r="24" spans="1:5" x14ac:dyDescent="0.25">
      <c r="A24" s="28">
        <v>8</v>
      </c>
      <c r="B24" s="19" t="s">
        <v>26</v>
      </c>
      <c r="C24" s="15"/>
      <c r="D24" s="15" t="s">
        <v>289</v>
      </c>
      <c r="E24" s="17">
        <f>E22+E23</f>
        <v>105185.978848656</v>
      </c>
    </row>
    <row r="25" spans="1:5" x14ac:dyDescent="0.25">
      <c r="A25" s="20"/>
      <c r="B25" s="21"/>
      <c r="C25" s="22"/>
      <c r="D25" s="22"/>
      <c r="E25" s="23"/>
    </row>
    <row r="26" spans="1:5" x14ac:dyDescent="0.25">
      <c r="A26" s="1" t="s">
        <v>2</v>
      </c>
    </row>
    <row r="27" spans="1:5" x14ac:dyDescent="0.25">
      <c r="A27" s="1" t="s">
        <v>27</v>
      </c>
    </row>
    <row r="28" spans="1:5" x14ac:dyDescent="0.25">
      <c r="A28" s="1" t="s">
        <v>31</v>
      </c>
    </row>
    <row r="29" spans="1:5" x14ac:dyDescent="0.25">
      <c r="A29" s="4" t="s">
        <v>28</v>
      </c>
    </row>
    <row r="30" spans="1:5" x14ac:dyDescent="0.25">
      <c r="A30" s="1" t="s">
        <v>260</v>
      </c>
    </row>
    <row r="34" spans="5:5" x14ac:dyDescent="0.25">
      <c r="E34" s="1" t="s">
        <v>30</v>
      </c>
    </row>
  </sheetData>
  <mergeCells count="3">
    <mergeCell ref="B1:D1"/>
    <mergeCell ref="A11:E11"/>
    <mergeCell ref="A14:E14"/>
  </mergeCells>
  <pageMargins left="0.19685039370078741" right="0.19685039370078741" top="0.19685039370078741" bottom="0.19685039370078741" header="0.51181102362204722" footer="0.51181102362204722"/>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4"/>
  <sheetViews>
    <sheetView topLeftCell="A4" zoomScaleNormal="100" workbookViewId="0">
      <selection activeCell="C7" sqref="A3:C7"/>
    </sheetView>
  </sheetViews>
  <sheetFormatPr defaultRowHeight="15.75" x14ac:dyDescent="0.25"/>
  <cols>
    <col min="1" max="1" width="4.7109375" style="1" customWidth="1"/>
    <col min="2" max="2" width="26.140625" style="1" customWidth="1"/>
    <col min="3" max="3" width="33" style="1" customWidth="1"/>
    <col min="4" max="4" width="26.7109375" style="1" customWidth="1"/>
    <col min="5" max="5" width="11.85546875" style="1" customWidth="1"/>
    <col min="6" max="16384" width="9.140625" style="1"/>
  </cols>
  <sheetData>
    <row r="1" spans="1:5" x14ac:dyDescent="0.25">
      <c r="B1" s="188" t="s">
        <v>0</v>
      </c>
      <c r="C1" s="188"/>
      <c r="D1" s="188"/>
    </row>
    <row r="3" spans="1:5" x14ac:dyDescent="0.25">
      <c r="A3" s="1" t="s">
        <v>1</v>
      </c>
      <c r="D3" s="2" t="s">
        <v>2</v>
      </c>
      <c r="E3" s="3"/>
    </row>
    <row r="4" spans="1:5" x14ac:dyDescent="0.25">
      <c r="A4" s="1" t="s">
        <v>3</v>
      </c>
      <c r="D4" s="2" t="s">
        <v>4</v>
      </c>
      <c r="E4" s="3"/>
    </row>
    <row r="5" spans="1:5" x14ac:dyDescent="0.25">
      <c r="A5" s="1" t="s">
        <v>5</v>
      </c>
      <c r="D5" s="2" t="s">
        <v>6</v>
      </c>
      <c r="E5" s="3"/>
    </row>
    <row r="6" spans="1:5" x14ac:dyDescent="0.25">
      <c r="D6" s="3"/>
      <c r="E6" s="3"/>
    </row>
    <row r="7" spans="1:5" x14ac:dyDescent="0.25">
      <c r="A7" s="4" t="s">
        <v>54</v>
      </c>
      <c r="D7" s="2" t="s">
        <v>8</v>
      </c>
      <c r="E7" s="3"/>
    </row>
    <row r="8" spans="1:5" x14ac:dyDescent="0.25">
      <c r="A8" s="4" t="s">
        <v>45</v>
      </c>
      <c r="D8" s="2" t="str">
        <f>A8</f>
        <v>"___" ___________ 2018 г.</v>
      </c>
      <c r="E8" s="3"/>
    </row>
    <row r="9" spans="1:5" x14ac:dyDescent="0.25">
      <c r="A9" s="4"/>
      <c r="D9" s="5"/>
      <c r="E9" s="6"/>
    </row>
    <row r="10" spans="1:5" ht="18" customHeight="1" x14ac:dyDescent="0.25">
      <c r="A10" s="189" t="s">
        <v>10</v>
      </c>
      <c r="B10" s="189"/>
      <c r="C10" s="189"/>
      <c r="D10" s="189"/>
      <c r="E10" s="189"/>
    </row>
    <row r="11" spans="1:5" x14ac:dyDescent="0.25">
      <c r="C11" s="7" t="s">
        <v>11</v>
      </c>
    </row>
    <row r="12" spans="1:5" x14ac:dyDescent="0.25">
      <c r="C12" s="7"/>
    </row>
    <row r="13" spans="1:5" ht="33" customHeight="1" x14ac:dyDescent="0.25">
      <c r="A13" s="190" t="s">
        <v>46</v>
      </c>
      <c r="B13" s="190"/>
      <c r="C13" s="190"/>
      <c r="D13" s="190"/>
      <c r="E13" s="190"/>
    </row>
    <row r="14" spans="1:5" ht="0.75" customHeight="1" x14ac:dyDescent="0.25">
      <c r="A14" s="190"/>
      <c r="B14" s="190"/>
      <c r="C14" s="190"/>
      <c r="D14" s="190"/>
      <c r="E14" s="190"/>
    </row>
    <row r="15" spans="1:5" x14ac:dyDescent="0.25">
      <c r="A15" s="8"/>
      <c r="B15" s="8"/>
      <c r="C15" s="8"/>
      <c r="D15" s="8"/>
      <c r="E15" s="8"/>
    </row>
    <row r="16" spans="1:5" ht="95.25" customHeight="1" x14ac:dyDescent="0.25">
      <c r="A16" s="9" t="s">
        <v>12</v>
      </c>
      <c r="B16" s="9" t="s">
        <v>13</v>
      </c>
      <c r="C16" s="9" t="s">
        <v>14</v>
      </c>
      <c r="D16" s="9" t="s">
        <v>15</v>
      </c>
      <c r="E16" s="9" t="s">
        <v>16</v>
      </c>
    </row>
    <row r="17" spans="1:5" ht="123.75" customHeight="1" x14ac:dyDescent="0.25">
      <c r="A17" s="10">
        <v>1</v>
      </c>
      <c r="B17" s="11" t="s">
        <v>47</v>
      </c>
      <c r="C17" s="11" t="s">
        <v>48</v>
      </c>
      <c r="D17" s="12" t="s">
        <v>49</v>
      </c>
      <c r="E17" s="13">
        <f>866.01*2.4*1.2*0.805*3.99</f>
        <v>8010.9527601600012</v>
      </c>
    </row>
    <row r="18" spans="1:5" ht="57.75" customHeight="1" x14ac:dyDescent="0.25">
      <c r="A18" s="10">
        <v>2</v>
      </c>
      <c r="B18" s="14" t="s">
        <v>17</v>
      </c>
      <c r="C18" s="12" t="s">
        <v>18</v>
      </c>
      <c r="D18" s="12" t="s">
        <v>19</v>
      </c>
      <c r="E18" s="13">
        <f>800*1*0.5*3.99</f>
        <v>1596</v>
      </c>
    </row>
    <row r="19" spans="1:5" ht="48" customHeight="1" x14ac:dyDescent="0.25">
      <c r="A19" s="10">
        <v>3</v>
      </c>
      <c r="B19" s="12" t="s">
        <v>20</v>
      </c>
      <c r="C19" s="15" t="s">
        <v>21</v>
      </c>
      <c r="D19" s="16">
        <f>(E17+E18)*0.1</f>
        <v>960.69527601600021</v>
      </c>
      <c r="E19" s="17">
        <f>D19</f>
        <v>960.69527601600021</v>
      </c>
    </row>
    <row r="20" spans="1:5" ht="48" customHeight="1" x14ac:dyDescent="0.25">
      <c r="A20" s="10">
        <v>4</v>
      </c>
      <c r="B20" s="12" t="s">
        <v>22</v>
      </c>
      <c r="C20" s="15"/>
      <c r="D20" s="16"/>
      <c r="E20" s="17">
        <v>5076.76</v>
      </c>
    </row>
    <row r="21" spans="1:5" ht="48" customHeight="1" x14ac:dyDescent="0.25">
      <c r="A21" s="10">
        <v>5</v>
      </c>
      <c r="B21" s="12" t="s">
        <v>23</v>
      </c>
      <c r="C21" s="15"/>
      <c r="D21" s="16"/>
      <c r="E21" s="17">
        <v>20914.38</v>
      </c>
    </row>
    <row r="22" spans="1:5" x14ac:dyDescent="0.25">
      <c r="A22" s="18"/>
      <c r="B22" s="19" t="s">
        <v>24</v>
      </c>
      <c r="C22" s="15"/>
      <c r="D22" s="15"/>
      <c r="E22" s="17">
        <f>E21+E20+E19+E18+E17</f>
        <v>36558.788036175996</v>
      </c>
    </row>
    <row r="23" spans="1:5" x14ac:dyDescent="0.25">
      <c r="A23" s="18"/>
      <c r="B23" s="19" t="s">
        <v>25</v>
      </c>
      <c r="C23" s="15"/>
      <c r="D23" s="15"/>
      <c r="E23" s="17">
        <f>ROUND(E22*18%,2)</f>
        <v>6580.58</v>
      </c>
    </row>
    <row r="24" spans="1:5" x14ac:dyDescent="0.25">
      <c r="A24" s="18"/>
      <c r="B24" s="19" t="s">
        <v>26</v>
      </c>
      <c r="C24" s="15"/>
      <c r="D24" s="15"/>
      <c r="E24" s="17">
        <f>E22+E23</f>
        <v>43139.368036175998</v>
      </c>
    </row>
    <row r="25" spans="1:5" x14ac:dyDescent="0.25">
      <c r="A25" s="20"/>
      <c r="B25" s="21"/>
      <c r="C25" s="22"/>
      <c r="D25" s="22"/>
      <c r="E25" s="23"/>
    </row>
    <row r="26" spans="1:5" x14ac:dyDescent="0.25">
      <c r="A26" s="1" t="s">
        <v>2</v>
      </c>
    </row>
    <row r="27" spans="1:5" x14ac:dyDescent="0.25">
      <c r="A27" s="1" t="s">
        <v>27</v>
      </c>
    </row>
    <row r="28" spans="1:5" x14ac:dyDescent="0.25">
      <c r="A28" s="1" t="s">
        <v>31</v>
      </c>
    </row>
    <row r="29" spans="1:5" x14ac:dyDescent="0.25">
      <c r="A29" s="4" t="s">
        <v>28</v>
      </c>
    </row>
    <row r="30" spans="1:5" x14ac:dyDescent="0.25">
      <c r="A30" s="1" t="s">
        <v>29</v>
      </c>
    </row>
    <row r="34" spans="5:5" x14ac:dyDescent="0.25">
      <c r="E34" s="1" t="s">
        <v>30</v>
      </c>
    </row>
  </sheetData>
  <mergeCells count="4">
    <mergeCell ref="B1:D1"/>
    <mergeCell ref="A10:E10"/>
    <mergeCell ref="A13:E13"/>
    <mergeCell ref="A14:E14"/>
  </mergeCells>
  <pageMargins left="0.19685039370078741" right="0.19685039370078741" top="0.19685039370078741" bottom="0.19685039370078741" header="0.51181102362204722" footer="0.51181102362204722"/>
  <pageSetup paperSize="9" orientation="portrait" r:id="rId1"/>
  <headerFooter alignWithMargins="0"/>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4"/>
  <sheetViews>
    <sheetView topLeftCell="A16" zoomScaleNormal="100" workbookViewId="0">
      <selection activeCell="G17" sqref="G17"/>
    </sheetView>
  </sheetViews>
  <sheetFormatPr defaultRowHeight="15.75" x14ac:dyDescent="0.25"/>
  <cols>
    <col min="1" max="1" width="4.7109375" style="1" customWidth="1"/>
    <col min="2" max="2" width="26.140625" style="1" customWidth="1"/>
    <col min="3" max="3" width="33" style="1" customWidth="1"/>
    <col min="4" max="4" width="26.7109375" style="1" customWidth="1"/>
    <col min="5" max="5" width="11.85546875" style="1" customWidth="1"/>
    <col min="6" max="16384" width="9.140625" style="1"/>
  </cols>
  <sheetData>
    <row r="1" spans="1:5" x14ac:dyDescent="0.25">
      <c r="B1" s="188" t="s">
        <v>327</v>
      </c>
      <c r="C1" s="188"/>
      <c r="D1" s="188"/>
    </row>
    <row r="3" spans="1:5" x14ac:dyDescent="0.25">
      <c r="A3" s="92" t="s">
        <v>230</v>
      </c>
      <c r="B3" s="93"/>
      <c r="C3" s="94"/>
      <c r="D3" s="92" t="s">
        <v>231</v>
      </c>
      <c r="E3"/>
    </row>
    <row r="4" spans="1:5" x14ac:dyDescent="0.25">
      <c r="A4" s="95" t="s">
        <v>232</v>
      </c>
      <c r="B4" s="96"/>
      <c r="C4" s="94"/>
      <c r="D4" s="95" t="s">
        <v>233</v>
      </c>
      <c r="E4"/>
    </row>
    <row r="5" spans="1:5" x14ac:dyDescent="0.25">
      <c r="A5" s="97" t="s">
        <v>4</v>
      </c>
      <c r="B5" s="98"/>
      <c r="C5" s="20"/>
      <c r="D5" s="97" t="s">
        <v>183</v>
      </c>
      <c r="E5" s="99"/>
    </row>
    <row r="6" spans="1:5" x14ac:dyDescent="0.25">
      <c r="A6" s="97" t="s">
        <v>235</v>
      </c>
      <c r="B6" s="98"/>
      <c r="C6" s="100"/>
      <c r="D6" s="97" t="s">
        <v>5</v>
      </c>
      <c r="E6" s="101"/>
    </row>
    <row r="7" spans="1:5" x14ac:dyDescent="0.25">
      <c r="A7"/>
      <c r="B7" s="102"/>
      <c r="C7"/>
      <c r="D7" s="97"/>
      <c r="E7" s="99"/>
    </row>
    <row r="8" spans="1:5" x14ac:dyDescent="0.25">
      <c r="A8" s="97" t="s">
        <v>236</v>
      </c>
      <c r="B8" s="98"/>
      <c r="D8" s="97" t="s">
        <v>237</v>
      </c>
      <c r="E8" s="99"/>
    </row>
    <row r="9" spans="1:5" x14ac:dyDescent="0.25">
      <c r="A9" s="97" t="s">
        <v>326</v>
      </c>
      <c r="B9" s="98"/>
      <c r="D9" s="97" t="s">
        <v>325</v>
      </c>
      <c r="E9" s="98"/>
    </row>
    <row r="10" spans="1:5" x14ac:dyDescent="0.25">
      <c r="A10" s="4"/>
      <c r="D10" s="5"/>
      <c r="E10" s="6"/>
    </row>
    <row r="11" spans="1:5" ht="18" customHeight="1" x14ac:dyDescent="0.25">
      <c r="A11" s="189" t="s">
        <v>10</v>
      </c>
      <c r="B11" s="189"/>
      <c r="C11" s="189"/>
      <c r="D11" s="189"/>
      <c r="E11" s="189"/>
    </row>
    <row r="12" spans="1:5" x14ac:dyDescent="0.25">
      <c r="C12" s="129" t="s">
        <v>159</v>
      </c>
    </row>
    <row r="13" spans="1:5" x14ac:dyDescent="0.25">
      <c r="C13" s="7"/>
    </row>
    <row r="14" spans="1:5" ht="35.25" customHeight="1" x14ac:dyDescent="0.25">
      <c r="A14" s="190" t="s">
        <v>324</v>
      </c>
      <c r="B14" s="190"/>
      <c r="C14" s="190"/>
      <c r="D14" s="190"/>
      <c r="E14" s="190"/>
    </row>
    <row r="15" spans="1:5" x14ac:dyDescent="0.25">
      <c r="A15" s="8"/>
      <c r="B15" s="8"/>
      <c r="C15" s="8"/>
      <c r="D15" s="8"/>
      <c r="E15" s="8"/>
    </row>
    <row r="16" spans="1:5" ht="95.25" customHeight="1" x14ac:dyDescent="0.25">
      <c r="A16" s="9" t="s">
        <v>12</v>
      </c>
      <c r="B16" s="9" t="s">
        <v>13</v>
      </c>
      <c r="C16" s="9" t="s">
        <v>14</v>
      </c>
      <c r="D16" s="9" t="s">
        <v>15</v>
      </c>
      <c r="E16" s="9" t="s">
        <v>16</v>
      </c>
    </row>
    <row r="17" spans="1:5" ht="123.75" customHeight="1" x14ac:dyDescent="0.25">
      <c r="A17" s="10">
        <v>1</v>
      </c>
      <c r="B17" s="11" t="s">
        <v>321</v>
      </c>
      <c r="C17" s="11" t="s">
        <v>322</v>
      </c>
      <c r="D17" s="12" t="s">
        <v>323</v>
      </c>
      <c r="E17" s="13">
        <f>877.62*2.4*1.2*0.805*4.09</f>
        <v>8321.8175107200004</v>
      </c>
    </row>
    <row r="18" spans="1:5" ht="57.75" customHeight="1" x14ac:dyDescent="0.25">
      <c r="A18" s="10">
        <v>2</v>
      </c>
      <c r="B18" s="130" t="s">
        <v>17</v>
      </c>
      <c r="C18" s="12" t="s">
        <v>18</v>
      </c>
      <c r="D18" s="12" t="s">
        <v>145</v>
      </c>
      <c r="E18" s="13">
        <f>800*1*0.5*3.83</f>
        <v>1532</v>
      </c>
    </row>
    <row r="19" spans="1:5" ht="48" customHeight="1" x14ac:dyDescent="0.25">
      <c r="A19" s="10">
        <v>3</v>
      </c>
      <c r="B19" s="12" t="s">
        <v>20</v>
      </c>
      <c r="C19" s="15" t="s">
        <v>21</v>
      </c>
      <c r="D19" s="16">
        <f>(E17+E18)*0.1</f>
        <v>985.38175107200004</v>
      </c>
      <c r="E19" s="17">
        <f>D19</f>
        <v>985.38175107200004</v>
      </c>
    </row>
    <row r="20" spans="1:5" ht="48" customHeight="1" x14ac:dyDescent="0.25">
      <c r="A20" s="10">
        <v>4</v>
      </c>
      <c r="B20" s="119" t="s">
        <v>80</v>
      </c>
      <c r="C20" s="12" t="s">
        <v>89</v>
      </c>
      <c r="D20" s="16"/>
      <c r="E20" s="17">
        <v>5000</v>
      </c>
    </row>
    <row r="21" spans="1:5" ht="48" customHeight="1" x14ac:dyDescent="0.25">
      <c r="A21" s="10">
        <v>5</v>
      </c>
      <c r="B21" s="119" t="s">
        <v>23</v>
      </c>
      <c r="C21" s="118"/>
      <c r="D21" s="16"/>
      <c r="E21" s="17">
        <v>25994.07</v>
      </c>
    </row>
    <row r="22" spans="1:5" x14ac:dyDescent="0.25">
      <c r="A22" s="28">
        <v>6</v>
      </c>
      <c r="B22" s="19" t="s">
        <v>24</v>
      </c>
      <c r="C22" s="15"/>
      <c r="D22" s="15" t="s">
        <v>287</v>
      </c>
      <c r="E22" s="17">
        <f>E19+E18+E17+E20+E21</f>
        <v>41833.269261791997</v>
      </c>
    </row>
    <row r="23" spans="1:5" x14ac:dyDescent="0.25">
      <c r="A23" s="28">
        <v>7</v>
      </c>
      <c r="B23" s="19" t="s">
        <v>249</v>
      </c>
      <c r="C23" s="15"/>
      <c r="D23" s="15" t="s">
        <v>288</v>
      </c>
      <c r="E23" s="17">
        <f>ROUND(E22*20%,2)</f>
        <v>8366.65</v>
      </c>
    </row>
    <row r="24" spans="1:5" x14ac:dyDescent="0.25">
      <c r="A24" s="28">
        <v>8</v>
      </c>
      <c r="B24" s="19" t="s">
        <v>26</v>
      </c>
      <c r="C24" s="15"/>
      <c r="D24" s="15" t="s">
        <v>289</v>
      </c>
      <c r="E24" s="17">
        <f>E22+E23</f>
        <v>50199.919261791998</v>
      </c>
    </row>
    <row r="25" spans="1:5" x14ac:dyDescent="0.25">
      <c r="A25" s="20"/>
      <c r="B25" s="21"/>
      <c r="C25" s="22"/>
      <c r="D25" s="22"/>
      <c r="E25" s="23"/>
    </row>
    <row r="26" spans="1:5" x14ac:dyDescent="0.25">
      <c r="A26" s="1" t="s">
        <v>2</v>
      </c>
    </row>
    <row r="27" spans="1:5" x14ac:dyDescent="0.25">
      <c r="A27" s="1" t="s">
        <v>27</v>
      </c>
    </row>
    <row r="28" spans="1:5" x14ac:dyDescent="0.25">
      <c r="A28" s="1" t="s">
        <v>31</v>
      </c>
    </row>
    <row r="29" spans="1:5" x14ac:dyDescent="0.25">
      <c r="A29" s="4" t="s">
        <v>28</v>
      </c>
    </row>
    <row r="30" spans="1:5" x14ac:dyDescent="0.25">
      <c r="A30" s="1" t="s">
        <v>260</v>
      </c>
    </row>
    <row r="34" spans="5:5" x14ac:dyDescent="0.25">
      <c r="E34" s="1" t="s">
        <v>30</v>
      </c>
    </row>
  </sheetData>
  <mergeCells count="3">
    <mergeCell ref="B1:D1"/>
    <mergeCell ref="A11:E11"/>
    <mergeCell ref="A14:E14"/>
  </mergeCells>
  <pageMargins left="0.19685039370078741" right="0.19685039370078741" top="0.19685039370078741" bottom="0.19685039370078741" header="0.51181102362204722" footer="0.51181102362204722"/>
  <pageSetup paperSize="9" orientation="portrait" r:id="rId1"/>
  <headerFooter alignWithMargins="0"/>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4"/>
  <sheetViews>
    <sheetView topLeftCell="A16" zoomScaleNormal="100" workbookViewId="0">
      <selection activeCell="E24" sqref="E24"/>
    </sheetView>
  </sheetViews>
  <sheetFormatPr defaultRowHeight="15.75" x14ac:dyDescent="0.25"/>
  <cols>
    <col min="1" max="1" width="4.7109375" style="1" customWidth="1"/>
    <col min="2" max="2" width="26.140625" style="1" customWidth="1"/>
    <col min="3" max="3" width="33" style="1" customWidth="1"/>
    <col min="4" max="4" width="26.7109375" style="1" customWidth="1"/>
    <col min="5" max="5" width="11.85546875" style="1" customWidth="1"/>
    <col min="6" max="16384" width="9.140625" style="1"/>
  </cols>
  <sheetData>
    <row r="1" spans="1:5" x14ac:dyDescent="0.25">
      <c r="B1" s="188" t="s">
        <v>327</v>
      </c>
      <c r="C1" s="188"/>
      <c r="D1" s="188"/>
    </row>
    <row r="3" spans="1:5" x14ac:dyDescent="0.25">
      <c r="A3" s="92" t="s">
        <v>230</v>
      </c>
      <c r="B3" s="93"/>
      <c r="C3" s="94"/>
      <c r="D3" s="92" t="s">
        <v>231</v>
      </c>
      <c r="E3"/>
    </row>
    <row r="4" spans="1:5" x14ac:dyDescent="0.25">
      <c r="A4" s="95" t="s">
        <v>232</v>
      </c>
      <c r="B4" s="96"/>
      <c r="C4" s="94"/>
      <c r="D4" s="95" t="s">
        <v>233</v>
      </c>
      <c r="E4"/>
    </row>
    <row r="5" spans="1:5" x14ac:dyDescent="0.25">
      <c r="A5" s="97" t="s">
        <v>4</v>
      </c>
      <c r="B5" s="98"/>
      <c r="C5" s="20"/>
      <c r="D5" s="97" t="s">
        <v>183</v>
      </c>
      <c r="E5" s="99"/>
    </row>
    <row r="6" spans="1:5" x14ac:dyDescent="0.25">
      <c r="A6" s="97" t="s">
        <v>235</v>
      </c>
      <c r="B6" s="98"/>
      <c r="C6" s="100"/>
      <c r="D6" s="97" t="s">
        <v>5</v>
      </c>
      <c r="E6" s="101"/>
    </row>
    <row r="7" spans="1:5" x14ac:dyDescent="0.25">
      <c r="A7"/>
      <c r="B7" s="102"/>
      <c r="C7"/>
      <c r="D7" s="97"/>
      <c r="E7" s="99"/>
    </row>
    <row r="8" spans="1:5" x14ac:dyDescent="0.25">
      <c r="A8" s="97" t="s">
        <v>236</v>
      </c>
      <c r="B8" s="98"/>
      <c r="D8" s="97" t="s">
        <v>237</v>
      </c>
      <c r="E8" s="99"/>
    </row>
    <row r="9" spans="1:5" x14ac:dyDescent="0.25">
      <c r="A9" s="97" t="s">
        <v>326</v>
      </c>
      <c r="B9" s="98"/>
      <c r="D9" s="97" t="s">
        <v>325</v>
      </c>
      <c r="E9" s="98"/>
    </row>
    <row r="10" spans="1:5" x14ac:dyDescent="0.25">
      <c r="A10" s="4"/>
      <c r="D10" s="5"/>
      <c r="E10" s="6"/>
    </row>
    <row r="11" spans="1:5" ht="18" customHeight="1" x14ac:dyDescent="0.25">
      <c r="A11" s="189" t="s">
        <v>10</v>
      </c>
      <c r="B11" s="189"/>
      <c r="C11" s="189"/>
      <c r="D11" s="189"/>
      <c r="E11" s="189"/>
    </row>
    <row r="12" spans="1:5" x14ac:dyDescent="0.25">
      <c r="C12" s="131" t="s">
        <v>159</v>
      </c>
    </row>
    <row r="13" spans="1:5" x14ac:dyDescent="0.25">
      <c r="C13" s="7"/>
    </row>
    <row r="14" spans="1:5" ht="35.25" customHeight="1" x14ac:dyDescent="0.25">
      <c r="A14" s="190" t="s">
        <v>338</v>
      </c>
      <c r="B14" s="190"/>
      <c r="C14" s="190"/>
      <c r="D14" s="190"/>
      <c r="E14" s="190"/>
    </row>
    <row r="15" spans="1:5" x14ac:dyDescent="0.25">
      <c r="A15" s="8"/>
      <c r="B15" s="8"/>
      <c r="C15" s="8"/>
      <c r="D15" s="8"/>
      <c r="E15" s="8"/>
    </row>
    <row r="16" spans="1:5" ht="95.25" customHeight="1" x14ac:dyDescent="0.25">
      <c r="A16" s="9" t="s">
        <v>12</v>
      </c>
      <c r="B16" s="9" t="s">
        <v>13</v>
      </c>
      <c r="C16" s="9" t="s">
        <v>14</v>
      </c>
      <c r="D16" s="9" t="s">
        <v>15</v>
      </c>
      <c r="E16" s="9" t="s">
        <v>16</v>
      </c>
    </row>
    <row r="17" spans="1:5" ht="123.75" customHeight="1" x14ac:dyDescent="0.25">
      <c r="A17" s="10">
        <v>1</v>
      </c>
      <c r="B17" s="11" t="s">
        <v>328</v>
      </c>
      <c r="C17" s="11" t="s">
        <v>329</v>
      </c>
      <c r="D17" s="12" t="s">
        <v>330</v>
      </c>
      <c r="E17" s="13">
        <f>1059.06*2.4*1.2*0.805*4.09</f>
        <v>10042.278039359999</v>
      </c>
    </row>
    <row r="18" spans="1:5" ht="57.75" customHeight="1" x14ac:dyDescent="0.25">
      <c r="A18" s="10">
        <v>2</v>
      </c>
      <c r="B18" s="132" t="s">
        <v>17</v>
      </c>
      <c r="C18" s="12" t="s">
        <v>18</v>
      </c>
      <c r="D18" s="12" t="s">
        <v>145</v>
      </c>
      <c r="E18" s="13">
        <f>800*1*0.5*3.83</f>
        <v>1532</v>
      </c>
    </row>
    <row r="19" spans="1:5" ht="48" customHeight="1" x14ac:dyDescent="0.25">
      <c r="A19" s="10">
        <v>3</v>
      </c>
      <c r="B19" s="12" t="s">
        <v>20</v>
      </c>
      <c r="C19" s="15" t="s">
        <v>21</v>
      </c>
      <c r="D19" s="16">
        <f>(E17+E18)*0.1</f>
        <v>1157.4278039359999</v>
      </c>
      <c r="E19" s="17">
        <f>D19</f>
        <v>1157.4278039359999</v>
      </c>
    </row>
    <row r="20" spans="1:5" ht="48" customHeight="1" x14ac:dyDescent="0.25">
      <c r="A20" s="10">
        <v>4</v>
      </c>
      <c r="B20" s="119" t="s">
        <v>80</v>
      </c>
      <c r="C20" s="12" t="s">
        <v>89</v>
      </c>
      <c r="D20" s="16"/>
      <c r="E20" s="17">
        <v>6621.84</v>
      </c>
    </row>
    <row r="21" spans="1:5" ht="48" customHeight="1" x14ac:dyDescent="0.25">
      <c r="A21" s="10">
        <v>5</v>
      </c>
      <c r="B21" s="119" t="s">
        <v>23</v>
      </c>
      <c r="C21" s="118"/>
      <c r="D21" s="16"/>
      <c r="E21" s="17">
        <v>21400.44</v>
      </c>
    </row>
    <row r="22" spans="1:5" x14ac:dyDescent="0.25">
      <c r="A22" s="28">
        <v>6</v>
      </c>
      <c r="B22" s="19" t="s">
        <v>24</v>
      </c>
      <c r="C22" s="15"/>
      <c r="D22" s="15" t="s">
        <v>287</v>
      </c>
      <c r="E22" s="17">
        <f>E19+E18+E17+E20+E21</f>
        <v>40753.985843296003</v>
      </c>
    </row>
    <row r="23" spans="1:5" x14ac:dyDescent="0.25">
      <c r="A23" s="28">
        <v>7</v>
      </c>
      <c r="B23" s="19" t="s">
        <v>249</v>
      </c>
      <c r="C23" s="15"/>
      <c r="D23" s="15" t="s">
        <v>288</v>
      </c>
      <c r="E23" s="17">
        <f>ROUND(E22*20%,2)</f>
        <v>8150.8</v>
      </c>
    </row>
    <row r="24" spans="1:5" x14ac:dyDescent="0.25">
      <c r="A24" s="28">
        <v>8</v>
      </c>
      <c r="B24" s="19" t="s">
        <v>26</v>
      </c>
      <c r="C24" s="15"/>
      <c r="D24" s="15" t="s">
        <v>289</v>
      </c>
      <c r="E24" s="17">
        <f>E22+E23</f>
        <v>48904.785843296006</v>
      </c>
    </row>
    <row r="25" spans="1:5" x14ac:dyDescent="0.25">
      <c r="A25" s="20"/>
      <c r="B25" s="21"/>
      <c r="C25" s="22"/>
      <c r="D25" s="22"/>
      <c r="E25" s="23"/>
    </row>
    <row r="26" spans="1:5" x14ac:dyDescent="0.25">
      <c r="A26" s="1" t="s">
        <v>2</v>
      </c>
    </row>
    <row r="27" spans="1:5" x14ac:dyDescent="0.25">
      <c r="A27" s="1" t="s">
        <v>27</v>
      </c>
    </row>
    <row r="28" spans="1:5" x14ac:dyDescent="0.25">
      <c r="A28" s="1" t="s">
        <v>31</v>
      </c>
    </row>
    <row r="29" spans="1:5" x14ac:dyDescent="0.25">
      <c r="A29" s="4" t="s">
        <v>28</v>
      </c>
    </row>
    <row r="30" spans="1:5" x14ac:dyDescent="0.25">
      <c r="A30" s="1" t="s">
        <v>260</v>
      </c>
    </row>
    <row r="34" spans="5:5" x14ac:dyDescent="0.25">
      <c r="E34" s="1" t="s">
        <v>30</v>
      </c>
    </row>
  </sheetData>
  <mergeCells count="3">
    <mergeCell ref="B1:D1"/>
    <mergeCell ref="A11:E11"/>
    <mergeCell ref="A14:E14"/>
  </mergeCells>
  <pageMargins left="0.19685039370078741" right="0.19685039370078741" top="0.19685039370078741" bottom="0.19685039370078741" header="0.51181102362204722" footer="0.51181102362204722"/>
  <pageSetup paperSize="9" orientation="portrait" r:id="rId1"/>
  <headerFooter alignWithMargins="0"/>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4"/>
  <sheetViews>
    <sheetView topLeftCell="A10" zoomScaleNormal="100" workbookViewId="0">
      <selection activeCell="A15" sqref="A15"/>
    </sheetView>
  </sheetViews>
  <sheetFormatPr defaultRowHeight="15.75" x14ac:dyDescent="0.25"/>
  <cols>
    <col min="1" max="1" width="4.7109375" style="1" customWidth="1"/>
    <col min="2" max="2" width="26.140625" style="1" customWidth="1"/>
    <col min="3" max="3" width="33" style="1" customWidth="1"/>
    <col min="4" max="4" width="26.7109375" style="1" customWidth="1"/>
    <col min="5" max="5" width="11.85546875" style="1" customWidth="1"/>
    <col min="6" max="16384" width="9.140625" style="1"/>
  </cols>
  <sheetData>
    <row r="1" spans="1:5" x14ac:dyDescent="0.25">
      <c r="B1" s="188" t="s">
        <v>327</v>
      </c>
      <c r="C1" s="188"/>
      <c r="D1" s="188"/>
    </row>
    <row r="3" spans="1:5" x14ac:dyDescent="0.25">
      <c r="A3" s="92" t="s">
        <v>230</v>
      </c>
      <c r="B3" s="93"/>
      <c r="C3" s="94"/>
      <c r="D3" s="92" t="s">
        <v>231</v>
      </c>
      <c r="E3"/>
    </row>
    <row r="4" spans="1:5" x14ac:dyDescent="0.25">
      <c r="A4" s="95" t="s">
        <v>232</v>
      </c>
      <c r="B4" s="96"/>
      <c r="C4" s="94"/>
      <c r="D4" s="95" t="s">
        <v>233</v>
      </c>
      <c r="E4"/>
    </row>
    <row r="5" spans="1:5" x14ac:dyDescent="0.25">
      <c r="A5" s="97" t="s">
        <v>4</v>
      </c>
      <c r="B5" s="98"/>
      <c r="C5" s="20"/>
      <c r="D5" s="97" t="s">
        <v>183</v>
      </c>
      <c r="E5" s="99"/>
    </row>
    <row r="6" spans="1:5" x14ac:dyDescent="0.25">
      <c r="A6" s="97" t="s">
        <v>235</v>
      </c>
      <c r="B6" s="98"/>
      <c r="C6" s="100"/>
      <c r="D6" s="97" t="s">
        <v>5</v>
      </c>
      <c r="E6" s="101"/>
    </row>
    <row r="7" spans="1:5" x14ac:dyDescent="0.25">
      <c r="A7"/>
      <c r="B7" s="102"/>
      <c r="C7"/>
      <c r="D7" s="97"/>
      <c r="E7" s="99"/>
    </row>
    <row r="8" spans="1:5" x14ac:dyDescent="0.25">
      <c r="A8" s="97" t="s">
        <v>236</v>
      </c>
      <c r="B8" s="98"/>
      <c r="D8" s="97" t="s">
        <v>237</v>
      </c>
      <c r="E8" s="99"/>
    </row>
    <row r="9" spans="1:5" x14ac:dyDescent="0.25">
      <c r="A9" s="97" t="s">
        <v>326</v>
      </c>
      <c r="B9" s="98"/>
      <c r="D9" s="97" t="s">
        <v>325</v>
      </c>
      <c r="E9" s="98"/>
    </row>
    <row r="10" spans="1:5" x14ac:dyDescent="0.25">
      <c r="A10" s="4"/>
      <c r="D10" s="5"/>
      <c r="E10" s="6"/>
    </row>
    <row r="11" spans="1:5" ht="18" customHeight="1" x14ac:dyDescent="0.25">
      <c r="A11" s="189" t="s">
        <v>10</v>
      </c>
      <c r="B11" s="189"/>
      <c r="C11" s="189"/>
      <c r="D11" s="189"/>
      <c r="E11" s="189"/>
    </row>
    <row r="12" spans="1:5" x14ac:dyDescent="0.25">
      <c r="C12" s="133" t="s">
        <v>159</v>
      </c>
    </row>
    <row r="13" spans="1:5" x14ac:dyDescent="0.25">
      <c r="C13" s="7"/>
    </row>
    <row r="14" spans="1:5" ht="35.25" customHeight="1" x14ac:dyDescent="0.25">
      <c r="A14" s="190" t="s">
        <v>334</v>
      </c>
      <c r="B14" s="190"/>
      <c r="C14" s="190"/>
      <c r="D14" s="190"/>
      <c r="E14" s="190"/>
    </row>
    <row r="15" spans="1:5" x14ac:dyDescent="0.25">
      <c r="A15" s="8"/>
      <c r="B15" s="8"/>
      <c r="C15" s="8"/>
      <c r="D15" s="8"/>
      <c r="E15" s="8"/>
    </row>
    <row r="16" spans="1:5" ht="95.25" customHeight="1" x14ac:dyDescent="0.25">
      <c r="A16" s="9" t="s">
        <v>12</v>
      </c>
      <c r="B16" s="9" t="s">
        <v>13</v>
      </c>
      <c r="C16" s="9" t="s">
        <v>14</v>
      </c>
      <c r="D16" s="9" t="s">
        <v>15</v>
      </c>
      <c r="E16" s="9" t="s">
        <v>16</v>
      </c>
    </row>
    <row r="17" spans="1:5" ht="123.75" customHeight="1" x14ac:dyDescent="0.25">
      <c r="A17" s="10">
        <v>1</v>
      </c>
      <c r="B17" s="11" t="s">
        <v>331</v>
      </c>
      <c r="C17" s="11" t="s">
        <v>332</v>
      </c>
      <c r="D17" s="12" t="s">
        <v>333</v>
      </c>
      <c r="E17" s="13">
        <f>1263.75*2.4*1.2*0.805*4.09</f>
        <v>11983.20102</v>
      </c>
    </row>
    <row r="18" spans="1:5" ht="57.75" customHeight="1" x14ac:dyDescent="0.25">
      <c r="A18" s="10">
        <v>2</v>
      </c>
      <c r="B18" s="134" t="s">
        <v>17</v>
      </c>
      <c r="C18" s="12" t="s">
        <v>18</v>
      </c>
      <c r="D18" s="12" t="s">
        <v>145</v>
      </c>
      <c r="E18" s="13">
        <f>800*1*0.5*3.83</f>
        <v>1532</v>
      </c>
    </row>
    <row r="19" spans="1:5" ht="48" customHeight="1" x14ac:dyDescent="0.25">
      <c r="A19" s="10">
        <v>3</v>
      </c>
      <c r="B19" s="12" t="s">
        <v>20</v>
      </c>
      <c r="C19" s="15" t="s">
        <v>21</v>
      </c>
      <c r="D19" s="16">
        <f>(E17+E18)*0.1</f>
        <v>1351.5201020000002</v>
      </c>
      <c r="E19" s="17">
        <f>D19</f>
        <v>1351.5201020000002</v>
      </c>
    </row>
    <row r="20" spans="1:5" ht="48" customHeight="1" x14ac:dyDescent="0.25">
      <c r="A20" s="10">
        <v>4</v>
      </c>
      <c r="B20" s="119" t="s">
        <v>80</v>
      </c>
      <c r="C20" s="12" t="s">
        <v>89</v>
      </c>
      <c r="D20" s="16"/>
      <c r="E20" s="17">
        <v>4166.67</v>
      </c>
    </row>
    <row r="21" spans="1:5" ht="48" customHeight="1" x14ac:dyDescent="0.25">
      <c r="A21" s="10">
        <v>5</v>
      </c>
      <c r="B21" s="119" t="s">
        <v>23</v>
      </c>
      <c r="C21" s="118"/>
      <c r="D21" s="16"/>
      <c r="E21" s="17">
        <v>21400.44</v>
      </c>
    </row>
    <row r="22" spans="1:5" x14ac:dyDescent="0.25">
      <c r="A22" s="28">
        <v>6</v>
      </c>
      <c r="B22" s="19" t="s">
        <v>24</v>
      </c>
      <c r="C22" s="15"/>
      <c r="D22" s="15" t="s">
        <v>287</v>
      </c>
      <c r="E22" s="17">
        <f>E19+E18+E17+E20+E21</f>
        <v>40433.831122000003</v>
      </c>
    </row>
    <row r="23" spans="1:5" x14ac:dyDescent="0.25">
      <c r="A23" s="28">
        <v>7</v>
      </c>
      <c r="B23" s="19" t="s">
        <v>249</v>
      </c>
      <c r="C23" s="15"/>
      <c r="D23" s="15" t="s">
        <v>288</v>
      </c>
      <c r="E23" s="17">
        <f>ROUND(E22*20%,2)</f>
        <v>8086.77</v>
      </c>
    </row>
    <row r="24" spans="1:5" x14ac:dyDescent="0.25">
      <c r="A24" s="28">
        <v>8</v>
      </c>
      <c r="B24" s="19" t="s">
        <v>26</v>
      </c>
      <c r="C24" s="15"/>
      <c r="D24" s="15" t="s">
        <v>289</v>
      </c>
      <c r="E24" s="17">
        <f>E22+E23</f>
        <v>48520.601122000007</v>
      </c>
    </row>
    <row r="25" spans="1:5" x14ac:dyDescent="0.25">
      <c r="A25" s="20"/>
      <c r="B25" s="21"/>
      <c r="C25" s="22"/>
      <c r="D25" s="22"/>
      <c r="E25" s="23"/>
    </row>
    <row r="26" spans="1:5" x14ac:dyDescent="0.25">
      <c r="A26" s="1" t="s">
        <v>2</v>
      </c>
    </row>
    <row r="27" spans="1:5" x14ac:dyDescent="0.25">
      <c r="A27" s="1" t="s">
        <v>27</v>
      </c>
    </row>
    <row r="28" spans="1:5" x14ac:dyDescent="0.25">
      <c r="A28" s="1" t="s">
        <v>31</v>
      </c>
    </row>
    <row r="29" spans="1:5" x14ac:dyDescent="0.25">
      <c r="A29" s="4" t="s">
        <v>28</v>
      </c>
    </row>
    <row r="30" spans="1:5" x14ac:dyDescent="0.25">
      <c r="A30" s="1" t="s">
        <v>260</v>
      </c>
    </row>
    <row r="34" spans="5:5" x14ac:dyDescent="0.25">
      <c r="E34" s="1" t="s">
        <v>30</v>
      </c>
    </row>
  </sheetData>
  <mergeCells count="3">
    <mergeCell ref="B1:D1"/>
    <mergeCell ref="A11:E11"/>
    <mergeCell ref="A14:E14"/>
  </mergeCells>
  <pageMargins left="0.19685039370078741" right="0.19685039370078741" top="0.19685039370078741" bottom="0.19685039370078741" header="0.51181102362204722" footer="0.51181102362204722"/>
  <pageSetup paperSize="9" orientation="portrait" r:id="rId1"/>
  <headerFooter alignWithMargins="0"/>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4"/>
  <sheetViews>
    <sheetView topLeftCell="A10" zoomScaleNormal="100" workbookViewId="0">
      <selection activeCell="G16" sqref="G16"/>
    </sheetView>
  </sheetViews>
  <sheetFormatPr defaultRowHeight="15.75" x14ac:dyDescent="0.25"/>
  <cols>
    <col min="1" max="1" width="4.7109375" style="1" customWidth="1"/>
    <col min="2" max="2" width="26.140625" style="1" customWidth="1"/>
    <col min="3" max="3" width="33" style="1" customWidth="1"/>
    <col min="4" max="4" width="26.7109375" style="1" customWidth="1"/>
    <col min="5" max="5" width="11.85546875" style="1" customWidth="1"/>
    <col min="6" max="16384" width="9.140625" style="1"/>
  </cols>
  <sheetData>
    <row r="1" spans="1:5" x14ac:dyDescent="0.25">
      <c r="B1" s="188" t="s">
        <v>327</v>
      </c>
      <c r="C1" s="188"/>
      <c r="D1" s="188"/>
    </row>
    <row r="3" spans="1:5" x14ac:dyDescent="0.25">
      <c r="A3" s="92" t="s">
        <v>230</v>
      </c>
      <c r="B3" s="93"/>
      <c r="C3" s="94"/>
      <c r="D3" s="92" t="s">
        <v>231</v>
      </c>
      <c r="E3"/>
    </row>
    <row r="4" spans="1:5" x14ac:dyDescent="0.25">
      <c r="A4" s="95" t="s">
        <v>232</v>
      </c>
      <c r="B4" s="96"/>
      <c r="C4" s="94"/>
      <c r="D4" s="95" t="s">
        <v>233</v>
      </c>
      <c r="E4"/>
    </row>
    <row r="5" spans="1:5" x14ac:dyDescent="0.25">
      <c r="A5" s="97" t="s">
        <v>4</v>
      </c>
      <c r="B5" s="98"/>
      <c r="C5" s="20"/>
      <c r="D5" s="97" t="s">
        <v>183</v>
      </c>
      <c r="E5" s="99"/>
    </row>
    <row r="6" spans="1:5" x14ac:dyDescent="0.25">
      <c r="A6" s="97" t="s">
        <v>235</v>
      </c>
      <c r="B6" s="98"/>
      <c r="C6" s="100"/>
      <c r="D6" s="97" t="s">
        <v>5</v>
      </c>
      <c r="E6" s="101"/>
    </row>
    <row r="7" spans="1:5" x14ac:dyDescent="0.25">
      <c r="A7"/>
      <c r="B7" s="102"/>
      <c r="C7"/>
      <c r="D7" s="97"/>
      <c r="E7" s="99"/>
    </row>
    <row r="8" spans="1:5" x14ac:dyDescent="0.25">
      <c r="A8" s="97" t="s">
        <v>236</v>
      </c>
      <c r="B8" s="98"/>
      <c r="D8" s="97" t="s">
        <v>237</v>
      </c>
      <c r="E8" s="99"/>
    </row>
    <row r="9" spans="1:5" x14ac:dyDescent="0.25">
      <c r="A9" s="97" t="s">
        <v>326</v>
      </c>
      <c r="B9" s="98"/>
      <c r="D9" s="97" t="s">
        <v>325</v>
      </c>
      <c r="E9" s="98"/>
    </row>
    <row r="10" spans="1:5" x14ac:dyDescent="0.25">
      <c r="A10" s="4"/>
      <c r="D10" s="5"/>
      <c r="E10" s="6"/>
    </row>
    <row r="11" spans="1:5" ht="18" customHeight="1" x14ac:dyDescent="0.25">
      <c r="A11" s="189" t="s">
        <v>10</v>
      </c>
      <c r="B11" s="189"/>
      <c r="C11" s="189"/>
      <c r="D11" s="189"/>
      <c r="E11" s="189"/>
    </row>
    <row r="12" spans="1:5" x14ac:dyDescent="0.25">
      <c r="C12" s="135" t="s">
        <v>159</v>
      </c>
    </row>
    <row r="13" spans="1:5" x14ac:dyDescent="0.25">
      <c r="C13" s="7"/>
    </row>
    <row r="14" spans="1:5" ht="35.25" customHeight="1" x14ac:dyDescent="0.25">
      <c r="A14" s="190" t="s">
        <v>342</v>
      </c>
      <c r="B14" s="190"/>
      <c r="C14" s="190"/>
      <c r="D14" s="190"/>
      <c r="E14" s="190"/>
    </row>
    <row r="15" spans="1:5" x14ac:dyDescent="0.25">
      <c r="A15" s="8"/>
      <c r="B15" s="8"/>
      <c r="C15" s="8"/>
      <c r="D15" s="8"/>
      <c r="E15" s="8"/>
    </row>
    <row r="16" spans="1:5" ht="95.25" customHeight="1" x14ac:dyDescent="0.25">
      <c r="A16" s="9" t="s">
        <v>12</v>
      </c>
      <c r="B16" s="9" t="s">
        <v>13</v>
      </c>
      <c r="C16" s="9" t="s">
        <v>14</v>
      </c>
      <c r="D16" s="9" t="s">
        <v>15</v>
      </c>
      <c r="E16" s="9" t="s">
        <v>16</v>
      </c>
    </row>
    <row r="17" spans="1:5" ht="123.75" customHeight="1" x14ac:dyDescent="0.25">
      <c r="A17" s="10">
        <v>1</v>
      </c>
      <c r="B17" s="11" t="s">
        <v>335</v>
      </c>
      <c r="C17" s="11" t="s">
        <v>336</v>
      </c>
      <c r="D17" s="12" t="s">
        <v>337</v>
      </c>
      <c r="E17" s="13">
        <f>2638.97*2.4*1.2*0.805*4.09</f>
        <v>25023.389116319995</v>
      </c>
    </row>
    <row r="18" spans="1:5" ht="57.75" customHeight="1" x14ac:dyDescent="0.25">
      <c r="A18" s="10">
        <v>2</v>
      </c>
      <c r="B18" s="136" t="s">
        <v>17</v>
      </c>
      <c r="C18" s="12" t="s">
        <v>18</v>
      </c>
      <c r="D18" s="12" t="s">
        <v>145</v>
      </c>
      <c r="E18" s="13">
        <f>800*1*0.5*3.83</f>
        <v>1532</v>
      </c>
    </row>
    <row r="19" spans="1:5" ht="48" customHeight="1" x14ac:dyDescent="0.25">
      <c r="A19" s="10">
        <v>3</v>
      </c>
      <c r="B19" s="12" t="s">
        <v>20</v>
      </c>
      <c r="C19" s="15" t="s">
        <v>21</v>
      </c>
      <c r="D19" s="16">
        <f>(E17+E18)*0.1</f>
        <v>2655.5389116319998</v>
      </c>
      <c r="E19" s="17">
        <f>D19</f>
        <v>2655.5389116319998</v>
      </c>
    </row>
    <row r="20" spans="1:5" ht="48" customHeight="1" x14ac:dyDescent="0.25">
      <c r="A20" s="10">
        <v>4</v>
      </c>
      <c r="B20" s="119" t="s">
        <v>80</v>
      </c>
      <c r="C20" s="12" t="s">
        <v>89</v>
      </c>
      <c r="D20" s="16"/>
      <c r="E20" s="17">
        <v>20218.34</v>
      </c>
    </row>
    <row r="21" spans="1:5" ht="48" customHeight="1" x14ac:dyDescent="0.25">
      <c r="A21" s="10">
        <v>5</v>
      </c>
      <c r="B21" s="119" t="s">
        <v>23</v>
      </c>
      <c r="C21" s="118"/>
      <c r="D21" s="16"/>
      <c r="E21" s="17">
        <v>25994.07</v>
      </c>
    </row>
    <row r="22" spans="1:5" x14ac:dyDescent="0.25">
      <c r="A22" s="28">
        <v>6</v>
      </c>
      <c r="B22" s="19" t="s">
        <v>24</v>
      </c>
      <c r="C22" s="15"/>
      <c r="D22" s="15" t="s">
        <v>287</v>
      </c>
      <c r="E22" s="17">
        <f>E19+E18+E17+E20+E21</f>
        <v>75423.338027952006</v>
      </c>
    </row>
    <row r="23" spans="1:5" x14ac:dyDescent="0.25">
      <c r="A23" s="28">
        <v>7</v>
      </c>
      <c r="B23" s="19" t="s">
        <v>249</v>
      </c>
      <c r="C23" s="15"/>
      <c r="D23" s="15" t="s">
        <v>288</v>
      </c>
      <c r="E23" s="17">
        <f>ROUND(E22*20%,2)</f>
        <v>15084.67</v>
      </c>
    </row>
    <row r="24" spans="1:5" x14ac:dyDescent="0.25">
      <c r="A24" s="28">
        <v>8</v>
      </c>
      <c r="B24" s="19" t="s">
        <v>26</v>
      </c>
      <c r="C24" s="15"/>
      <c r="D24" s="15" t="s">
        <v>289</v>
      </c>
      <c r="E24" s="17">
        <f>E22+E23</f>
        <v>90508.008027952004</v>
      </c>
    </row>
    <row r="25" spans="1:5" x14ac:dyDescent="0.25">
      <c r="A25" s="20"/>
      <c r="B25" s="21"/>
      <c r="C25" s="22"/>
      <c r="D25" s="22"/>
      <c r="E25" s="23"/>
    </row>
    <row r="26" spans="1:5" x14ac:dyDescent="0.25">
      <c r="A26" s="1" t="s">
        <v>2</v>
      </c>
    </row>
    <row r="27" spans="1:5" x14ac:dyDescent="0.25">
      <c r="A27" s="1" t="s">
        <v>27</v>
      </c>
    </row>
    <row r="28" spans="1:5" x14ac:dyDescent="0.25">
      <c r="A28" s="1" t="s">
        <v>31</v>
      </c>
    </row>
    <row r="29" spans="1:5" x14ac:dyDescent="0.25">
      <c r="A29" s="4" t="s">
        <v>28</v>
      </c>
    </row>
    <row r="30" spans="1:5" x14ac:dyDescent="0.25">
      <c r="A30" s="1" t="s">
        <v>260</v>
      </c>
    </row>
    <row r="34" spans="5:5" x14ac:dyDescent="0.25">
      <c r="E34" s="1" t="s">
        <v>30</v>
      </c>
    </row>
  </sheetData>
  <mergeCells count="3">
    <mergeCell ref="B1:D1"/>
    <mergeCell ref="A11:E11"/>
    <mergeCell ref="A14:E14"/>
  </mergeCells>
  <pageMargins left="0.19685039370078741" right="0.19685039370078741" top="0.19685039370078741" bottom="0.19685039370078741" header="0.51181102362204722" footer="0.51181102362204722"/>
  <pageSetup paperSize="9" orientation="portrait" r:id="rId1"/>
  <headerFooter alignWithMargins="0"/>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4"/>
  <sheetViews>
    <sheetView topLeftCell="A16" zoomScaleNormal="100" workbookViewId="0">
      <selection activeCell="C16" sqref="C16"/>
    </sheetView>
  </sheetViews>
  <sheetFormatPr defaultRowHeight="15.75" x14ac:dyDescent="0.25"/>
  <cols>
    <col min="1" max="1" width="4.7109375" style="1" customWidth="1"/>
    <col min="2" max="2" width="26.140625" style="1" customWidth="1"/>
    <col min="3" max="3" width="33" style="1" customWidth="1"/>
    <col min="4" max="4" width="26.7109375" style="1" customWidth="1"/>
    <col min="5" max="5" width="11.85546875" style="1" customWidth="1"/>
    <col min="6" max="16384" width="9.140625" style="1"/>
  </cols>
  <sheetData>
    <row r="1" spans="1:5" x14ac:dyDescent="0.25">
      <c r="B1" s="188" t="s">
        <v>327</v>
      </c>
      <c r="C1" s="188"/>
      <c r="D1" s="188"/>
    </row>
    <row r="3" spans="1:5" x14ac:dyDescent="0.25">
      <c r="A3" s="92" t="s">
        <v>230</v>
      </c>
      <c r="B3" s="93"/>
      <c r="C3" s="94"/>
      <c r="D3" s="92" t="s">
        <v>231</v>
      </c>
      <c r="E3"/>
    </row>
    <row r="4" spans="1:5" x14ac:dyDescent="0.25">
      <c r="A4" s="95" t="s">
        <v>232</v>
      </c>
      <c r="B4" s="96"/>
      <c r="C4" s="94"/>
      <c r="D4" s="95" t="s">
        <v>233</v>
      </c>
      <c r="E4"/>
    </row>
    <row r="5" spans="1:5" x14ac:dyDescent="0.25">
      <c r="A5" s="97" t="s">
        <v>4</v>
      </c>
      <c r="B5" s="98"/>
      <c r="C5" s="20"/>
      <c r="D5" s="97" t="s">
        <v>183</v>
      </c>
      <c r="E5" s="99"/>
    </row>
    <row r="6" spans="1:5" x14ac:dyDescent="0.25">
      <c r="A6" s="97" t="s">
        <v>235</v>
      </c>
      <c r="B6" s="98"/>
      <c r="C6" s="100"/>
      <c r="D6" s="97" t="s">
        <v>5</v>
      </c>
      <c r="E6" s="101"/>
    </row>
    <row r="7" spans="1:5" x14ac:dyDescent="0.25">
      <c r="A7"/>
      <c r="B7" s="102"/>
      <c r="C7"/>
      <c r="D7" s="97"/>
      <c r="E7" s="99"/>
    </row>
    <row r="8" spans="1:5" x14ac:dyDescent="0.25">
      <c r="A8" s="97" t="s">
        <v>236</v>
      </c>
      <c r="B8" s="98"/>
      <c r="D8" s="97" t="s">
        <v>237</v>
      </c>
      <c r="E8" s="99"/>
    </row>
    <row r="9" spans="1:5" x14ac:dyDescent="0.25">
      <c r="A9" s="97" t="s">
        <v>326</v>
      </c>
      <c r="B9" s="98"/>
      <c r="D9" s="97" t="s">
        <v>325</v>
      </c>
      <c r="E9" s="98"/>
    </row>
    <row r="10" spans="1:5" x14ac:dyDescent="0.25">
      <c r="A10" s="4"/>
      <c r="D10" s="5"/>
      <c r="E10" s="6"/>
    </row>
    <row r="11" spans="1:5" ht="18" customHeight="1" x14ac:dyDescent="0.25">
      <c r="A11" s="189" t="s">
        <v>10</v>
      </c>
      <c r="B11" s="189"/>
      <c r="C11" s="189"/>
      <c r="D11" s="189"/>
      <c r="E11" s="189"/>
    </row>
    <row r="12" spans="1:5" x14ac:dyDescent="0.25">
      <c r="C12" s="135" t="s">
        <v>159</v>
      </c>
    </row>
    <row r="13" spans="1:5" x14ac:dyDescent="0.25">
      <c r="C13" s="7"/>
    </row>
    <row r="14" spans="1:5" ht="40.5" customHeight="1" x14ac:dyDescent="0.25">
      <c r="A14" s="190" t="s">
        <v>343</v>
      </c>
      <c r="B14" s="190"/>
      <c r="C14" s="190"/>
      <c r="D14" s="190"/>
      <c r="E14" s="190"/>
    </row>
    <row r="15" spans="1:5" x14ac:dyDescent="0.25">
      <c r="A15" s="8"/>
      <c r="B15" s="8"/>
      <c r="C15" s="8"/>
      <c r="D15" s="8"/>
      <c r="E15" s="8"/>
    </row>
    <row r="16" spans="1:5" ht="95.25" customHeight="1" x14ac:dyDescent="0.25">
      <c r="A16" s="9" t="s">
        <v>12</v>
      </c>
      <c r="B16" s="9" t="s">
        <v>13</v>
      </c>
      <c r="C16" s="9" t="s">
        <v>14</v>
      </c>
      <c r="D16" s="9" t="s">
        <v>15</v>
      </c>
      <c r="E16" s="9" t="s">
        <v>16</v>
      </c>
    </row>
    <row r="17" spans="1:5" ht="123.75" customHeight="1" x14ac:dyDescent="0.25">
      <c r="A17" s="10">
        <v>1</v>
      </c>
      <c r="B17" s="11" t="s">
        <v>339</v>
      </c>
      <c r="C17" s="11" t="s">
        <v>340</v>
      </c>
      <c r="D17" s="12" t="s">
        <v>341</v>
      </c>
      <c r="E17" s="13">
        <f>2160.35*2.4*1.2*0.805*4.09</f>
        <v>20484.991749599994</v>
      </c>
    </row>
    <row r="18" spans="1:5" ht="57.75" customHeight="1" x14ac:dyDescent="0.25">
      <c r="A18" s="10">
        <v>2</v>
      </c>
      <c r="B18" s="136" t="s">
        <v>17</v>
      </c>
      <c r="C18" s="12" t="s">
        <v>18</v>
      </c>
      <c r="D18" s="12" t="s">
        <v>145</v>
      </c>
      <c r="E18" s="13">
        <f>800*1*0.5*3.83</f>
        <v>1532</v>
      </c>
    </row>
    <row r="19" spans="1:5" ht="48" customHeight="1" x14ac:dyDescent="0.25">
      <c r="A19" s="10">
        <v>3</v>
      </c>
      <c r="B19" s="12" t="s">
        <v>20</v>
      </c>
      <c r="C19" s="15" t="s">
        <v>21</v>
      </c>
      <c r="D19" s="16">
        <f>(E17+E18)*0.1</f>
        <v>2201.6991749599997</v>
      </c>
      <c r="E19" s="17">
        <f>D19</f>
        <v>2201.6991749599997</v>
      </c>
    </row>
    <row r="20" spans="1:5" ht="48" customHeight="1" x14ac:dyDescent="0.25">
      <c r="A20" s="10">
        <v>4</v>
      </c>
      <c r="B20" s="119" t="s">
        <v>80</v>
      </c>
      <c r="C20" s="12" t="s">
        <v>89</v>
      </c>
      <c r="D20" s="16"/>
      <c r="E20" s="17">
        <v>6666.66</v>
      </c>
    </row>
    <row r="21" spans="1:5" ht="48" customHeight="1" x14ac:dyDescent="0.25">
      <c r="A21" s="10">
        <v>5</v>
      </c>
      <c r="B21" s="119" t="s">
        <v>23</v>
      </c>
      <c r="C21" s="118"/>
      <c r="D21" s="16"/>
      <c r="E21" s="17">
        <v>26788.12</v>
      </c>
    </row>
    <row r="22" spans="1:5" x14ac:dyDescent="0.25">
      <c r="A22" s="28">
        <v>6</v>
      </c>
      <c r="B22" s="19" t="s">
        <v>24</v>
      </c>
      <c r="C22" s="15"/>
      <c r="D22" s="15" t="s">
        <v>287</v>
      </c>
      <c r="E22" s="17">
        <f>E19+E18+E17+E20+E21</f>
        <v>57673.470924559995</v>
      </c>
    </row>
    <row r="23" spans="1:5" x14ac:dyDescent="0.25">
      <c r="A23" s="28">
        <v>7</v>
      </c>
      <c r="B23" s="19" t="s">
        <v>249</v>
      </c>
      <c r="C23" s="15"/>
      <c r="D23" s="15" t="s">
        <v>288</v>
      </c>
      <c r="E23" s="17">
        <f>ROUND(E22*20%,2)</f>
        <v>11534.69</v>
      </c>
    </row>
    <row r="24" spans="1:5" x14ac:dyDescent="0.25">
      <c r="A24" s="28">
        <v>8</v>
      </c>
      <c r="B24" s="19" t="s">
        <v>26</v>
      </c>
      <c r="C24" s="15"/>
      <c r="D24" s="15" t="s">
        <v>289</v>
      </c>
      <c r="E24" s="17">
        <f>E22+E23</f>
        <v>69208.160924559998</v>
      </c>
    </row>
    <row r="25" spans="1:5" x14ac:dyDescent="0.25">
      <c r="A25" s="20"/>
      <c r="B25" s="21"/>
      <c r="C25" s="22"/>
      <c r="D25" s="22"/>
      <c r="E25" s="23"/>
    </row>
    <row r="26" spans="1:5" x14ac:dyDescent="0.25">
      <c r="A26" s="1" t="s">
        <v>2</v>
      </c>
    </row>
    <row r="27" spans="1:5" x14ac:dyDescent="0.25">
      <c r="A27" s="1" t="s">
        <v>27</v>
      </c>
    </row>
    <row r="28" spans="1:5" x14ac:dyDescent="0.25">
      <c r="A28" s="1" t="s">
        <v>31</v>
      </c>
    </row>
    <row r="29" spans="1:5" x14ac:dyDescent="0.25">
      <c r="A29" s="4" t="s">
        <v>28</v>
      </c>
    </row>
    <row r="30" spans="1:5" x14ac:dyDescent="0.25">
      <c r="A30" s="1" t="s">
        <v>260</v>
      </c>
    </row>
    <row r="34" spans="5:5" x14ac:dyDescent="0.25">
      <c r="E34" s="1" t="s">
        <v>30</v>
      </c>
    </row>
  </sheetData>
  <mergeCells count="3">
    <mergeCell ref="B1:D1"/>
    <mergeCell ref="A11:E11"/>
    <mergeCell ref="A14:E14"/>
  </mergeCells>
  <pageMargins left="0.19685039370078741" right="0.19685039370078741" top="0.19685039370078741" bottom="0.19685039370078741" header="0.51181102362204722" footer="0.51181102362204722"/>
  <pageSetup paperSize="9" orientation="portrait" r:id="rId1"/>
  <headerFooter alignWithMargins="0"/>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2"/>
  <sheetViews>
    <sheetView topLeftCell="A13" zoomScaleNormal="100" workbookViewId="0">
      <selection activeCell="A14" sqref="A14:E14"/>
    </sheetView>
  </sheetViews>
  <sheetFormatPr defaultRowHeight="15.75" x14ac:dyDescent="0.25"/>
  <cols>
    <col min="1" max="1" width="4.7109375" style="1" customWidth="1"/>
    <col min="2" max="2" width="26.140625" style="1" customWidth="1"/>
    <col min="3" max="3" width="33" style="1" customWidth="1"/>
    <col min="4" max="4" width="26.7109375" style="1" customWidth="1"/>
    <col min="5" max="5" width="11.85546875" style="1" customWidth="1"/>
    <col min="6" max="16384" width="9.140625" style="1"/>
  </cols>
  <sheetData>
    <row r="1" spans="1:5" x14ac:dyDescent="0.25">
      <c r="B1" s="188" t="s">
        <v>327</v>
      </c>
      <c r="C1" s="188"/>
      <c r="D1" s="188"/>
    </row>
    <row r="3" spans="1:5" x14ac:dyDescent="0.25">
      <c r="A3" s="92" t="s">
        <v>230</v>
      </c>
      <c r="B3" s="93"/>
      <c r="C3" s="94"/>
      <c r="D3" s="92" t="s">
        <v>231</v>
      </c>
      <c r="E3"/>
    </row>
    <row r="4" spans="1:5" x14ac:dyDescent="0.25">
      <c r="A4" s="95" t="s">
        <v>232</v>
      </c>
      <c r="B4" s="96"/>
      <c r="C4" s="94"/>
      <c r="D4" s="95" t="s">
        <v>233</v>
      </c>
      <c r="E4"/>
    </row>
    <row r="5" spans="1:5" x14ac:dyDescent="0.25">
      <c r="A5" s="97" t="s">
        <v>4</v>
      </c>
      <c r="B5" s="98"/>
      <c r="C5" s="20"/>
      <c r="D5" s="97" t="s">
        <v>183</v>
      </c>
      <c r="E5" s="99"/>
    </row>
    <row r="6" spans="1:5" x14ac:dyDescent="0.25">
      <c r="A6" s="97" t="s">
        <v>235</v>
      </c>
      <c r="B6" s="98"/>
      <c r="C6" s="100"/>
      <c r="D6" s="97" t="s">
        <v>5</v>
      </c>
      <c r="E6" s="101"/>
    </row>
    <row r="7" spans="1:5" x14ac:dyDescent="0.25">
      <c r="A7"/>
      <c r="B7" s="102"/>
      <c r="C7"/>
      <c r="D7" s="97"/>
      <c r="E7" s="99"/>
    </row>
    <row r="8" spans="1:5" x14ac:dyDescent="0.25">
      <c r="A8" s="97" t="s">
        <v>236</v>
      </c>
      <c r="B8" s="98"/>
      <c r="D8" s="97" t="s">
        <v>237</v>
      </c>
      <c r="E8" s="99"/>
    </row>
    <row r="9" spans="1:5" x14ac:dyDescent="0.25">
      <c r="A9" s="97" t="s">
        <v>326</v>
      </c>
      <c r="B9" s="98"/>
      <c r="D9" s="97" t="s">
        <v>325</v>
      </c>
      <c r="E9" s="98"/>
    </row>
    <row r="10" spans="1:5" x14ac:dyDescent="0.25">
      <c r="A10" s="4"/>
      <c r="D10" s="5"/>
      <c r="E10" s="6"/>
    </row>
    <row r="11" spans="1:5" ht="18" customHeight="1" x14ac:dyDescent="0.25">
      <c r="A11" s="189" t="s">
        <v>10</v>
      </c>
      <c r="B11" s="189"/>
      <c r="C11" s="189"/>
      <c r="D11" s="189"/>
      <c r="E11" s="189"/>
    </row>
    <row r="12" spans="1:5" x14ac:dyDescent="0.25">
      <c r="C12" s="137" t="s">
        <v>159</v>
      </c>
    </row>
    <row r="13" spans="1:5" x14ac:dyDescent="0.25">
      <c r="C13" s="7"/>
    </row>
    <row r="14" spans="1:5" ht="30" customHeight="1" x14ac:dyDescent="0.25">
      <c r="A14" s="190" t="s">
        <v>348</v>
      </c>
      <c r="B14" s="190"/>
      <c r="C14" s="190"/>
      <c r="D14" s="190"/>
      <c r="E14" s="190"/>
    </row>
    <row r="15" spans="1:5" x14ac:dyDescent="0.25">
      <c r="A15" s="8"/>
      <c r="B15" s="8"/>
      <c r="C15" s="8"/>
      <c r="D15" s="8"/>
      <c r="E15" s="8"/>
    </row>
    <row r="16" spans="1:5" ht="95.25" customHeight="1" x14ac:dyDescent="0.25">
      <c r="A16" s="9" t="s">
        <v>12</v>
      </c>
      <c r="B16" s="9" t="s">
        <v>13</v>
      </c>
      <c r="C16" s="9" t="s">
        <v>14</v>
      </c>
      <c r="D16" s="9" t="s">
        <v>15</v>
      </c>
      <c r="E16" s="9" t="s">
        <v>16</v>
      </c>
    </row>
    <row r="17" spans="1:5" ht="123.75" customHeight="1" x14ac:dyDescent="0.25">
      <c r="A17" s="10">
        <v>1</v>
      </c>
      <c r="B17" s="11" t="s">
        <v>344</v>
      </c>
      <c r="C17" s="11" t="s">
        <v>345</v>
      </c>
      <c r="D17" s="12" t="s">
        <v>346</v>
      </c>
      <c r="E17" s="13">
        <f>223.4*2.4*1.2*0.805*4.09</f>
        <v>2118.3359903999999</v>
      </c>
    </row>
    <row r="18" spans="1:5" ht="57.75" customHeight="1" x14ac:dyDescent="0.25">
      <c r="A18" s="10">
        <v>2</v>
      </c>
      <c r="B18" s="138" t="s">
        <v>17</v>
      </c>
      <c r="C18" s="12" t="s">
        <v>18</v>
      </c>
      <c r="D18" s="12" t="s">
        <v>145</v>
      </c>
      <c r="E18" s="13">
        <f>800*1*0.5*3.83</f>
        <v>1532</v>
      </c>
    </row>
    <row r="19" spans="1:5" ht="48" customHeight="1" x14ac:dyDescent="0.25">
      <c r="A19" s="10">
        <v>3</v>
      </c>
      <c r="B19" s="12" t="s">
        <v>20</v>
      </c>
      <c r="C19" s="15" t="s">
        <v>21</v>
      </c>
      <c r="D19" s="16">
        <f>(E17+E18)*0.1</f>
        <v>365.03359904000001</v>
      </c>
      <c r="E19" s="17">
        <f>D19</f>
        <v>365.03359904000001</v>
      </c>
    </row>
    <row r="20" spans="1:5" x14ac:dyDescent="0.25">
      <c r="A20" s="28">
        <v>4</v>
      </c>
      <c r="B20" s="19" t="s">
        <v>24</v>
      </c>
      <c r="C20" s="15"/>
      <c r="D20" s="15" t="s">
        <v>257</v>
      </c>
      <c r="E20" s="17">
        <f>E19+E18+E17</f>
        <v>4015.3695894399998</v>
      </c>
    </row>
    <row r="21" spans="1:5" x14ac:dyDescent="0.25">
      <c r="A21" s="28">
        <v>5</v>
      </c>
      <c r="B21" s="19" t="s">
        <v>249</v>
      </c>
      <c r="C21" s="15"/>
      <c r="D21" s="15" t="s">
        <v>258</v>
      </c>
      <c r="E21" s="17">
        <f>ROUND(E20*20%,2)</f>
        <v>803.07</v>
      </c>
    </row>
    <row r="22" spans="1:5" x14ac:dyDescent="0.25">
      <c r="A22" s="28">
        <v>6</v>
      </c>
      <c r="B22" s="19" t="s">
        <v>26</v>
      </c>
      <c r="C22" s="15"/>
      <c r="D22" s="15" t="s">
        <v>259</v>
      </c>
      <c r="E22" s="17">
        <f>E20+E21</f>
        <v>4818.4395894399995</v>
      </c>
    </row>
    <row r="23" spans="1:5" x14ac:dyDescent="0.25">
      <c r="A23" s="20"/>
      <c r="B23" s="21"/>
      <c r="C23" s="22"/>
      <c r="D23" s="22"/>
      <c r="E23" s="23"/>
    </row>
    <row r="24" spans="1:5" x14ac:dyDescent="0.25">
      <c r="A24" s="1" t="s">
        <v>2</v>
      </c>
    </row>
    <row r="25" spans="1:5" x14ac:dyDescent="0.25">
      <c r="A25" s="1" t="s">
        <v>27</v>
      </c>
    </row>
    <row r="26" spans="1:5" x14ac:dyDescent="0.25">
      <c r="A26" s="1" t="s">
        <v>31</v>
      </c>
    </row>
    <row r="27" spans="1:5" x14ac:dyDescent="0.25">
      <c r="A27" s="4" t="s">
        <v>28</v>
      </c>
    </row>
    <row r="28" spans="1:5" x14ac:dyDescent="0.25">
      <c r="A28" s="1" t="s">
        <v>347</v>
      </c>
    </row>
    <row r="32" spans="1:5" x14ac:dyDescent="0.25">
      <c r="E32" s="1" t="s">
        <v>30</v>
      </c>
    </row>
  </sheetData>
  <mergeCells count="3">
    <mergeCell ref="B1:D1"/>
    <mergeCell ref="A11:E11"/>
    <mergeCell ref="A14:E14"/>
  </mergeCells>
  <pageMargins left="0.19685039370078741" right="0.19685039370078741" top="0.19685039370078741" bottom="0.19685039370078741" header="0.51181102362204722" footer="0.51181102362204722"/>
  <pageSetup paperSize="9" orientation="portrait" r:id="rId1"/>
  <headerFooter alignWithMargins="0"/>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4"/>
  <sheetViews>
    <sheetView topLeftCell="A16" zoomScaleNormal="100" workbookViewId="0">
      <selection activeCell="A30" sqref="A30"/>
    </sheetView>
  </sheetViews>
  <sheetFormatPr defaultRowHeight="15.75" x14ac:dyDescent="0.25"/>
  <cols>
    <col min="1" max="1" width="4.7109375" style="1" customWidth="1"/>
    <col min="2" max="2" width="26.140625" style="1" customWidth="1"/>
    <col min="3" max="3" width="33" style="1" customWidth="1"/>
    <col min="4" max="4" width="26.5703125" style="1" customWidth="1"/>
    <col min="5" max="5" width="11.85546875" style="1" customWidth="1"/>
    <col min="6" max="16384" width="9.140625" style="1"/>
  </cols>
  <sheetData>
    <row r="1" spans="1:5" x14ac:dyDescent="0.25">
      <c r="B1" s="188" t="s">
        <v>327</v>
      </c>
      <c r="C1" s="188"/>
      <c r="D1" s="188"/>
    </row>
    <row r="3" spans="1:5" x14ac:dyDescent="0.25">
      <c r="A3" s="92" t="s">
        <v>230</v>
      </c>
      <c r="B3" s="93"/>
      <c r="C3" s="94"/>
      <c r="D3" s="92" t="s">
        <v>231</v>
      </c>
      <c r="E3"/>
    </row>
    <row r="4" spans="1:5" x14ac:dyDescent="0.25">
      <c r="A4" s="95" t="s">
        <v>232</v>
      </c>
      <c r="B4" s="96"/>
      <c r="C4" s="94"/>
      <c r="D4" s="95" t="s">
        <v>233</v>
      </c>
      <c r="E4"/>
    </row>
    <row r="5" spans="1:5" x14ac:dyDescent="0.25">
      <c r="A5" s="97" t="s">
        <v>4</v>
      </c>
      <c r="B5" s="98"/>
      <c r="C5" s="20"/>
      <c r="D5" s="97" t="s">
        <v>183</v>
      </c>
      <c r="E5" s="99"/>
    </row>
    <row r="6" spans="1:5" x14ac:dyDescent="0.25">
      <c r="A6" s="97" t="s">
        <v>235</v>
      </c>
      <c r="B6" s="98"/>
      <c r="C6" s="100"/>
      <c r="D6" s="97" t="s">
        <v>5</v>
      </c>
      <c r="E6" s="101"/>
    </row>
    <row r="7" spans="1:5" x14ac:dyDescent="0.25">
      <c r="A7"/>
      <c r="B7" s="102"/>
      <c r="C7"/>
      <c r="D7" s="97"/>
      <c r="E7" s="99"/>
    </row>
    <row r="8" spans="1:5" x14ac:dyDescent="0.25">
      <c r="A8" s="97" t="s">
        <v>236</v>
      </c>
      <c r="B8" s="98"/>
      <c r="D8" s="97" t="s">
        <v>237</v>
      </c>
      <c r="E8" s="99"/>
    </row>
    <row r="9" spans="1:5" x14ac:dyDescent="0.25">
      <c r="A9" s="97" t="s">
        <v>326</v>
      </c>
      <c r="B9" s="98"/>
      <c r="D9" s="97" t="s">
        <v>325</v>
      </c>
      <c r="E9" s="98"/>
    </row>
    <row r="10" spans="1:5" x14ac:dyDescent="0.25">
      <c r="A10" s="4"/>
      <c r="D10" s="5"/>
      <c r="E10" s="6"/>
    </row>
    <row r="11" spans="1:5" ht="18" customHeight="1" x14ac:dyDescent="0.25">
      <c r="A11" s="189" t="s">
        <v>10</v>
      </c>
      <c r="B11" s="189"/>
      <c r="C11" s="189"/>
      <c r="D11" s="189"/>
      <c r="E11" s="189"/>
    </row>
    <row r="12" spans="1:5" x14ac:dyDescent="0.25">
      <c r="C12" s="139" t="s">
        <v>159</v>
      </c>
    </row>
    <row r="13" spans="1:5" x14ac:dyDescent="0.25">
      <c r="C13" s="7"/>
    </row>
    <row r="14" spans="1:5" ht="40.5" customHeight="1" x14ac:dyDescent="0.25">
      <c r="A14" s="190" t="s">
        <v>353</v>
      </c>
      <c r="B14" s="190"/>
      <c r="C14" s="190"/>
      <c r="D14" s="190"/>
      <c r="E14" s="190"/>
    </row>
    <row r="15" spans="1:5" x14ac:dyDescent="0.25">
      <c r="A15" s="8"/>
      <c r="B15" s="8"/>
      <c r="C15" s="8"/>
      <c r="D15" s="8"/>
      <c r="E15" s="8"/>
    </row>
    <row r="16" spans="1:5" ht="95.25" customHeight="1" x14ac:dyDescent="0.25">
      <c r="A16" s="9" t="s">
        <v>12</v>
      </c>
      <c r="B16" s="9" t="s">
        <v>13</v>
      </c>
      <c r="C16" s="9" t="s">
        <v>14</v>
      </c>
      <c r="D16" s="9" t="s">
        <v>15</v>
      </c>
      <c r="E16" s="9" t="s">
        <v>16</v>
      </c>
    </row>
    <row r="17" spans="1:5" ht="123.75" customHeight="1" x14ac:dyDescent="0.25">
      <c r="A17" s="10">
        <v>1</v>
      </c>
      <c r="B17" s="11" t="s">
        <v>349</v>
      </c>
      <c r="C17" s="11" t="s">
        <v>350</v>
      </c>
      <c r="D17" s="12" t="s">
        <v>351</v>
      </c>
      <c r="E17" s="13">
        <f>2656.94*2.4*1.2*0.805*4.09</f>
        <v>25193.78525664</v>
      </c>
    </row>
    <row r="18" spans="1:5" ht="57.75" customHeight="1" x14ac:dyDescent="0.25">
      <c r="A18" s="10">
        <v>2</v>
      </c>
      <c r="B18" s="140" t="s">
        <v>17</v>
      </c>
      <c r="C18" s="12" t="s">
        <v>18</v>
      </c>
      <c r="D18" s="12" t="s">
        <v>145</v>
      </c>
      <c r="E18" s="13">
        <f>800*1*0.5*3.83</f>
        <v>1532</v>
      </c>
    </row>
    <row r="19" spans="1:5" ht="48" customHeight="1" x14ac:dyDescent="0.25">
      <c r="A19" s="10">
        <v>3</v>
      </c>
      <c r="B19" s="12" t="s">
        <v>20</v>
      </c>
      <c r="C19" s="15" t="s">
        <v>21</v>
      </c>
      <c r="D19" s="16">
        <f>(E17+E18)*0.1</f>
        <v>2672.5785256640002</v>
      </c>
      <c r="E19" s="17">
        <f>D19</f>
        <v>2672.5785256640002</v>
      </c>
    </row>
    <row r="20" spans="1:5" ht="48" customHeight="1" x14ac:dyDescent="0.25">
      <c r="A20" s="10">
        <v>4</v>
      </c>
      <c r="B20" s="119" t="s">
        <v>80</v>
      </c>
      <c r="C20" s="12" t="s">
        <v>89</v>
      </c>
      <c r="D20" s="16"/>
      <c r="E20" s="17">
        <v>9341.59</v>
      </c>
    </row>
    <row r="21" spans="1:5" ht="48" customHeight="1" x14ac:dyDescent="0.25">
      <c r="A21" s="10">
        <v>5</v>
      </c>
      <c r="B21" s="119" t="s">
        <v>23</v>
      </c>
      <c r="C21" s="118"/>
      <c r="D21" s="16"/>
      <c r="E21" s="17">
        <v>26788.12</v>
      </c>
    </row>
    <row r="22" spans="1:5" x14ac:dyDescent="0.25">
      <c r="A22" s="28">
        <v>6</v>
      </c>
      <c r="B22" s="19" t="s">
        <v>24</v>
      </c>
      <c r="C22" s="15"/>
      <c r="D22" s="15" t="s">
        <v>287</v>
      </c>
      <c r="E22" s="17">
        <f>E19+E18+E17+E20+E21</f>
        <v>65528.073782303996</v>
      </c>
    </row>
    <row r="23" spans="1:5" x14ac:dyDescent="0.25">
      <c r="A23" s="28">
        <v>7</v>
      </c>
      <c r="B23" s="19" t="s">
        <v>249</v>
      </c>
      <c r="C23" s="15"/>
      <c r="D23" s="15" t="s">
        <v>288</v>
      </c>
      <c r="E23" s="17">
        <f>ROUND(E22*20%,2)</f>
        <v>13105.61</v>
      </c>
    </row>
    <row r="24" spans="1:5" x14ac:dyDescent="0.25">
      <c r="A24" s="28">
        <v>8</v>
      </c>
      <c r="B24" s="19" t="s">
        <v>26</v>
      </c>
      <c r="C24" s="15"/>
      <c r="D24" s="15" t="s">
        <v>289</v>
      </c>
      <c r="E24" s="17">
        <f>E22+E23</f>
        <v>78633.683782303997</v>
      </c>
    </row>
    <row r="25" spans="1:5" x14ac:dyDescent="0.25">
      <c r="A25" s="20"/>
      <c r="B25" s="21"/>
      <c r="C25" s="22"/>
      <c r="D25" s="22"/>
      <c r="E25" s="23"/>
    </row>
    <row r="26" spans="1:5" x14ac:dyDescent="0.25">
      <c r="A26" s="1" t="s">
        <v>2</v>
      </c>
    </row>
    <row r="27" spans="1:5" x14ac:dyDescent="0.25">
      <c r="A27" s="1" t="s">
        <v>27</v>
      </c>
    </row>
    <row r="28" spans="1:5" x14ac:dyDescent="0.25">
      <c r="A28" s="1" t="s">
        <v>31</v>
      </c>
    </row>
    <row r="29" spans="1:5" x14ac:dyDescent="0.25">
      <c r="A29" s="4" t="s">
        <v>28</v>
      </c>
    </row>
    <row r="30" spans="1:5" x14ac:dyDescent="0.25">
      <c r="A30" s="1" t="s">
        <v>352</v>
      </c>
    </row>
    <row r="34" spans="5:5" x14ac:dyDescent="0.25">
      <c r="E34" s="1" t="s">
        <v>30</v>
      </c>
    </row>
  </sheetData>
  <mergeCells count="3">
    <mergeCell ref="B1:D1"/>
    <mergeCell ref="A11:E11"/>
    <mergeCell ref="A14:E14"/>
  </mergeCells>
  <pageMargins left="0.19685039370078741" right="0.19685039370078741" top="0.19685039370078741" bottom="0.19685039370078741" header="0.51181102362204722" footer="0.51181102362204722"/>
  <pageSetup paperSize="9" orientation="portrait" r:id="rId1"/>
  <headerFooter alignWithMargins="0"/>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44"/>
  <sheetViews>
    <sheetView topLeftCell="A19" zoomScaleNormal="100" workbookViewId="0">
      <selection activeCell="D17" sqref="D17:G17"/>
    </sheetView>
  </sheetViews>
  <sheetFormatPr defaultColWidth="11.5703125" defaultRowHeight="12.75" x14ac:dyDescent="0.2"/>
  <cols>
    <col min="1" max="1" width="3.7109375" style="50" customWidth="1"/>
    <col min="2" max="2" width="10.7109375" style="50" customWidth="1"/>
    <col min="3" max="3" width="10.28515625" style="50" customWidth="1"/>
    <col min="4" max="6" width="9.28515625" style="50" customWidth="1"/>
    <col min="7" max="7" width="19.42578125" style="50" customWidth="1"/>
    <col min="8" max="8" width="16.5703125" style="50" customWidth="1"/>
    <col min="9" max="9" width="13.5703125" style="50" customWidth="1"/>
    <col min="10" max="10" width="19.7109375" style="51" customWidth="1"/>
    <col min="11" max="256" width="11.5703125" style="51"/>
    <col min="257" max="257" width="3.7109375" style="51" customWidth="1"/>
    <col min="258" max="259" width="10.7109375" style="51" customWidth="1"/>
    <col min="260" max="263" width="9.28515625" style="51" customWidth="1"/>
    <col min="264" max="264" width="14.5703125" style="51" customWidth="1"/>
    <col min="265" max="265" width="17.7109375" style="51" customWidth="1"/>
    <col min="266" max="266" width="19.7109375" style="51" customWidth="1"/>
    <col min="267" max="512" width="11.5703125" style="51"/>
    <col min="513" max="513" width="3.7109375" style="51" customWidth="1"/>
    <col min="514" max="515" width="10.7109375" style="51" customWidth="1"/>
    <col min="516" max="519" width="9.28515625" style="51" customWidth="1"/>
    <col min="520" max="520" width="14.5703125" style="51" customWidth="1"/>
    <col min="521" max="521" width="17.7109375" style="51" customWidth="1"/>
    <col min="522" max="522" width="19.7109375" style="51" customWidth="1"/>
    <col min="523" max="768" width="11.5703125" style="51"/>
    <col min="769" max="769" width="3.7109375" style="51" customWidth="1"/>
    <col min="770" max="771" width="10.7109375" style="51" customWidth="1"/>
    <col min="772" max="775" width="9.28515625" style="51" customWidth="1"/>
    <col min="776" max="776" width="14.5703125" style="51" customWidth="1"/>
    <col min="777" max="777" width="17.7109375" style="51" customWidth="1"/>
    <col min="778" max="778" width="19.7109375" style="51" customWidth="1"/>
    <col min="779" max="1024" width="11.5703125" style="51"/>
    <col min="1025" max="1025" width="3.7109375" style="51" customWidth="1"/>
    <col min="1026" max="1027" width="10.7109375" style="51" customWidth="1"/>
    <col min="1028" max="1031" width="9.28515625" style="51" customWidth="1"/>
    <col min="1032" max="1032" width="14.5703125" style="51" customWidth="1"/>
    <col min="1033" max="1033" width="17.7109375" style="51" customWidth="1"/>
    <col min="1034" max="1034" width="19.7109375" style="51" customWidth="1"/>
    <col min="1035" max="1280" width="11.5703125" style="51"/>
    <col min="1281" max="1281" width="3.7109375" style="51" customWidth="1"/>
    <col min="1282" max="1283" width="10.7109375" style="51" customWidth="1"/>
    <col min="1284" max="1287" width="9.28515625" style="51" customWidth="1"/>
    <col min="1288" max="1288" width="14.5703125" style="51" customWidth="1"/>
    <col min="1289" max="1289" width="17.7109375" style="51" customWidth="1"/>
    <col min="1290" max="1290" width="19.7109375" style="51" customWidth="1"/>
    <col min="1291" max="1536" width="11.5703125" style="51"/>
    <col min="1537" max="1537" width="3.7109375" style="51" customWidth="1"/>
    <col min="1538" max="1539" width="10.7109375" style="51" customWidth="1"/>
    <col min="1540" max="1543" width="9.28515625" style="51" customWidth="1"/>
    <col min="1544" max="1544" width="14.5703125" style="51" customWidth="1"/>
    <col min="1545" max="1545" width="17.7109375" style="51" customWidth="1"/>
    <col min="1546" max="1546" width="19.7109375" style="51" customWidth="1"/>
    <col min="1547" max="1792" width="11.5703125" style="51"/>
    <col min="1793" max="1793" width="3.7109375" style="51" customWidth="1"/>
    <col min="1794" max="1795" width="10.7109375" style="51" customWidth="1"/>
    <col min="1796" max="1799" width="9.28515625" style="51" customWidth="1"/>
    <col min="1800" max="1800" width="14.5703125" style="51" customWidth="1"/>
    <col min="1801" max="1801" width="17.7109375" style="51" customWidth="1"/>
    <col min="1802" max="1802" width="19.7109375" style="51" customWidth="1"/>
    <col min="1803" max="2048" width="11.5703125" style="51"/>
    <col min="2049" max="2049" width="3.7109375" style="51" customWidth="1"/>
    <col min="2050" max="2051" width="10.7109375" style="51" customWidth="1"/>
    <col min="2052" max="2055" width="9.28515625" style="51" customWidth="1"/>
    <col min="2056" max="2056" width="14.5703125" style="51" customWidth="1"/>
    <col min="2057" max="2057" width="17.7109375" style="51" customWidth="1"/>
    <col min="2058" max="2058" width="19.7109375" style="51" customWidth="1"/>
    <col min="2059" max="2304" width="11.5703125" style="51"/>
    <col min="2305" max="2305" width="3.7109375" style="51" customWidth="1"/>
    <col min="2306" max="2307" width="10.7109375" style="51" customWidth="1"/>
    <col min="2308" max="2311" width="9.28515625" style="51" customWidth="1"/>
    <col min="2312" max="2312" width="14.5703125" style="51" customWidth="1"/>
    <col min="2313" max="2313" width="17.7109375" style="51" customWidth="1"/>
    <col min="2314" max="2314" width="19.7109375" style="51" customWidth="1"/>
    <col min="2315" max="2560" width="11.5703125" style="51"/>
    <col min="2561" max="2561" width="3.7109375" style="51" customWidth="1"/>
    <col min="2562" max="2563" width="10.7109375" style="51" customWidth="1"/>
    <col min="2564" max="2567" width="9.28515625" style="51" customWidth="1"/>
    <col min="2568" max="2568" width="14.5703125" style="51" customWidth="1"/>
    <col min="2569" max="2569" width="17.7109375" style="51" customWidth="1"/>
    <col min="2570" max="2570" width="19.7109375" style="51" customWidth="1"/>
    <col min="2571" max="2816" width="11.5703125" style="51"/>
    <col min="2817" max="2817" width="3.7109375" style="51" customWidth="1"/>
    <col min="2818" max="2819" width="10.7109375" style="51" customWidth="1"/>
    <col min="2820" max="2823" width="9.28515625" style="51" customWidth="1"/>
    <col min="2824" max="2824" width="14.5703125" style="51" customWidth="1"/>
    <col min="2825" max="2825" width="17.7109375" style="51" customWidth="1"/>
    <col min="2826" max="2826" width="19.7109375" style="51" customWidth="1"/>
    <col min="2827" max="3072" width="11.5703125" style="51"/>
    <col min="3073" max="3073" width="3.7109375" style="51" customWidth="1"/>
    <col min="3074" max="3075" width="10.7109375" style="51" customWidth="1"/>
    <col min="3076" max="3079" width="9.28515625" style="51" customWidth="1"/>
    <col min="3080" max="3080" width="14.5703125" style="51" customWidth="1"/>
    <col min="3081" max="3081" width="17.7109375" style="51" customWidth="1"/>
    <col min="3082" max="3082" width="19.7109375" style="51" customWidth="1"/>
    <col min="3083" max="3328" width="11.5703125" style="51"/>
    <col min="3329" max="3329" width="3.7109375" style="51" customWidth="1"/>
    <col min="3330" max="3331" width="10.7109375" style="51" customWidth="1"/>
    <col min="3332" max="3335" width="9.28515625" style="51" customWidth="1"/>
    <col min="3336" max="3336" width="14.5703125" style="51" customWidth="1"/>
    <col min="3337" max="3337" width="17.7109375" style="51" customWidth="1"/>
    <col min="3338" max="3338" width="19.7109375" style="51" customWidth="1"/>
    <col min="3339" max="3584" width="11.5703125" style="51"/>
    <col min="3585" max="3585" width="3.7109375" style="51" customWidth="1"/>
    <col min="3586" max="3587" width="10.7109375" style="51" customWidth="1"/>
    <col min="3588" max="3591" width="9.28515625" style="51" customWidth="1"/>
    <col min="3592" max="3592" width="14.5703125" style="51" customWidth="1"/>
    <col min="3593" max="3593" width="17.7109375" style="51" customWidth="1"/>
    <col min="3594" max="3594" width="19.7109375" style="51" customWidth="1"/>
    <col min="3595" max="3840" width="11.5703125" style="51"/>
    <col min="3841" max="3841" width="3.7109375" style="51" customWidth="1"/>
    <col min="3842" max="3843" width="10.7109375" style="51" customWidth="1"/>
    <col min="3844" max="3847" width="9.28515625" style="51" customWidth="1"/>
    <col min="3848" max="3848" width="14.5703125" style="51" customWidth="1"/>
    <col min="3849" max="3849" width="17.7109375" style="51" customWidth="1"/>
    <col min="3850" max="3850" width="19.7109375" style="51" customWidth="1"/>
    <col min="3851" max="4096" width="11.5703125" style="51"/>
    <col min="4097" max="4097" width="3.7109375" style="51" customWidth="1"/>
    <col min="4098" max="4099" width="10.7109375" style="51" customWidth="1"/>
    <col min="4100" max="4103" width="9.28515625" style="51" customWidth="1"/>
    <col min="4104" max="4104" width="14.5703125" style="51" customWidth="1"/>
    <col min="4105" max="4105" width="17.7109375" style="51" customWidth="1"/>
    <col min="4106" max="4106" width="19.7109375" style="51" customWidth="1"/>
    <col min="4107" max="4352" width="11.5703125" style="51"/>
    <col min="4353" max="4353" width="3.7109375" style="51" customWidth="1"/>
    <col min="4354" max="4355" width="10.7109375" style="51" customWidth="1"/>
    <col min="4356" max="4359" width="9.28515625" style="51" customWidth="1"/>
    <col min="4360" max="4360" width="14.5703125" style="51" customWidth="1"/>
    <col min="4361" max="4361" width="17.7109375" style="51" customWidth="1"/>
    <col min="4362" max="4362" width="19.7109375" style="51" customWidth="1"/>
    <col min="4363" max="4608" width="11.5703125" style="51"/>
    <col min="4609" max="4609" width="3.7109375" style="51" customWidth="1"/>
    <col min="4610" max="4611" width="10.7109375" style="51" customWidth="1"/>
    <col min="4612" max="4615" width="9.28515625" style="51" customWidth="1"/>
    <col min="4616" max="4616" width="14.5703125" style="51" customWidth="1"/>
    <col min="4617" max="4617" width="17.7109375" style="51" customWidth="1"/>
    <col min="4618" max="4618" width="19.7109375" style="51" customWidth="1"/>
    <col min="4619" max="4864" width="11.5703125" style="51"/>
    <col min="4865" max="4865" width="3.7109375" style="51" customWidth="1"/>
    <col min="4866" max="4867" width="10.7109375" style="51" customWidth="1"/>
    <col min="4868" max="4871" width="9.28515625" style="51" customWidth="1"/>
    <col min="4872" max="4872" width="14.5703125" style="51" customWidth="1"/>
    <col min="4873" max="4873" width="17.7109375" style="51" customWidth="1"/>
    <col min="4874" max="4874" width="19.7109375" style="51" customWidth="1"/>
    <col min="4875" max="5120" width="11.5703125" style="51"/>
    <col min="5121" max="5121" width="3.7109375" style="51" customWidth="1"/>
    <col min="5122" max="5123" width="10.7109375" style="51" customWidth="1"/>
    <col min="5124" max="5127" width="9.28515625" style="51" customWidth="1"/>
    <col min="5128" max="5128" width="14.5703125" style="51" customWidth="1"/>
    <col min="5129" max="5129" width="17.7109375" style="51" customWidth="1"/>
    <col min="5130" max="5130" width="19.7109375" style="51" customWidth="1"/>
    <col min="5131" max="5376" width="11.5703125" style="51"/>
    <col min="5377" max="5377" width="3.7109375" style="51" customWidth="1"/>
    <col min="5378" max="5379" width="10.7109375" style="51" customWidth="1"/>
    <col min="5380" max="5383" width="9.28515625" style="51" customWidth="1"/>
    <col min="5384" max="5384" width="14.5703125" style="51" customWidth="1"/>
    <col min="5385" max="5385" width="17.7109375" style="51" customWidth="1"/>
    <col min="5386" max="5386" width="19.7109375" style="51" customWidth="1"/>
    <col min="5387" max="5632" width="11.5703125" style="51"/>
    <col min="5633" max="5633" width="3.7109375" style="51" customWidth="1"/>
    <col min="5634" max="5635" width="10.7109375" style="51" customWidth="1"/>
    <col min="5636" max="5639" width="9.28515625" style="51" customWidth="1"/>
    <col min="5640" max="5640" width="14.5703125" style="51" customWidth="1"/>
    <col min="5641" max="5641" width="17.7109375" style="51" customWidth="1"/>
    <col min="5642" max="5642" width="19.7109375" style="51" customWidth="1"/>
    <col min="5643" max="5888" width="11.5703125" style="51"/>
    <col min="5889" max="5889" width="3.7109375" style="51" customWidth="1"/>
    <col min="5890" max="5891" width="10.7109375" style="51" customWidth="1"/>
    <col min="5892" max="5895" width="9.28515625" style="51" customWidth="1"/>
    <col min="5896" max="5896" width="14.5703125" style="51" customWidth="1"/>
    <col min="5897" max="5897" width="17.7109375" style="51" customWidth="1"/>
    <col min="5898" max="5898" width="19.7109375" style="51" customWidth="1"/>
    <col min="5899" max="6144" width="11.5703125" style="51"/>
    <col min="6145" max="6145" width="3.7109375" style="51" customWidth="1"/>
    <col min="6146" max="6147" width="10.7109375" style="51" customWidth="1"/>
    <col min="6148" max="6151" width="9.28515625" style="51" customWidth="1"/>
    <col min="6152" max="6152" width="14.5703125" style="51" customWidth="1"/>
    <col min="6153" max="6153" width="17.7109375" style="51" customWidth="1"/>
    <col min="6154" max="6154" width="19.7109375" style="51" customWidth="1"/>
    <col min="6155" max="6400" width="11.5703125" style="51"/>
    <col min="6401" max="6401" width="3.7109375" style="51" customWidth="1"/>
    <col min="6402" max="6403" width="10.7109375" style="51" customWidth="1"/>
    <col min="6404" max="6407" width="9.28515625" style="51" customWidth="1"/>
    <col min="6408" max="6408" width="14.5703125" style="51" customWidth="1"/>
    <col min="6409" max="6409" width="17.7109375" style="51" customWidth="1"/>
    <col min="6410" max="6410" width="19.7109375" style="51" customWidth="1"/>
    <col min="6411" max="6656" width="11.5703125" style="51"/>
    <col min="6657" max="6657" width="3.7109375" style="51" customWidth="1"/>
    <col min="6658" max="6659" width="10.7109375" style="51" customWidth="1"/>
    <col min="6660" max="6663" width="9.28515625" style="51" customWidth="1"/>
    <col min="6664" max="6664" width="14.5703125" style="51" customWidth="1"/>
    <col min="6665" max="6665" width="17.7109375" style="51" customWidth="1"/>
    <col min="6666" max="6666" width="19.7109375" style="51" customWidth="1"/>
    <col min="6667" max="6912" width="11.5703125" style="51"/>
    <col min="6913" max="6913" width="3.7109375" style="51" customWidth="1"/>
    <col min="6914" max="6915" width="10.7109375" style="51" customWidth="1"/>
    <col min="6916" max="6919" width="9.28515625" style="51" customWidth="1"/>
    <col min="6920" max="6920" width="14.5703125" style="51" customWidth="1"/>
    <col min="6921" max="6921" width="17.7109375" style="51" customWidth="1"/>
    <col min="6922" max="6922" width="19.7109375" style="51" customWidth="1"/>
    <col min="6923" max="7168" width="11.5703125" style="51"/>
    <col min="7169" max="7169" width="3.7109375" style="51" customWidth="1"/>
    <col min="7170" max="7171" width="10.7109375" style="51" customWidth="1"/>
    <col min="7172" max="7175" width="9.28515625" style="51" customWidth="1"/>
    <col min="7176" max="7176" width="14.5703125" style="51" customWidth="1"/>
    <col min="7177" max="7177" width="17.7109375" style="51" customWidth="1"/>
    <col min="7178" max="7178" width="19.7109375" style="51" customWidth="1"/>
    <col min="7179" max="7424" width="11.5703125" style="51"/>
    <col min="7425" max="7425" width="3.7109375" style="51" customWidth="1"/>
    <col min="7426" max="7427" width="10.7109375" style="51" customWidth="1"/>
    <col min="7428" max="7431" width="9.28515625" style="51" customWidth="1"/>
    <col min="7432" max="7432" width="14.5703125" style="51" customWidth="1"/>
    <col min="7433" max="7433" width="17.7109375" style="51" customWidth="1"/>
    <col min="7434" max="7434" width="19.7109375" style="51" customWidth="1"/>
    <col min="7435" max="7680" width="11.5703125" style="51"/>
    <col min="7681" max="7681" width="3.7109375" style="51" customWidth="1"/>
    <col min="7682" max="7683" width="10.7109375" style="51" customWidth="1"/>
    <col min="7684" max="7687" width="9.28515625" style="51" customWidth="1"/>
    <col min="7688" max="7688" width="14.5703125" style="51" customWidth="1"/>
    <col min="7689" max="7689" width="17.7109375" style="51" customWidth="1"/>
    <col min="7690" max="7690" width="19.7109375" style="51" customWidth="1"/>
    <col min="7691" max="7936" width="11.5703125" style="51"/>
    <col min="7937" max="7937" width="3.7109375" style="51" customWidth="1"/>
    <col min="7938" max="7939" width="10.7109375" style="51" customWidth="1"/>
    <col min="7940" max="7943" width="9.28515625" style="51" customWidth="1"/>
    <col min="7944" max="7944" width="14.5703125" style="51" customWidth="1"/>
    <col min="7945" max="7945" width="17.7109375" style="51" customWidth="1"/>
    <col min="7946" max="7946" width="19.7109375" style="51" customWidth="1"/>
    <col min="7947" max="8192" width="11.5703125" style="51"/>
    <col min="8193" max="8193" width="3.7109375" style="51" customWidth="1"/>
    <col min="8194" max="8195" width="10.7109375" style="51" customWidth="1"/>
    <col min="8196" max="8199" width="9.28515625" style="51" customWidth="1"/>
    <col min="8200" max="8200" width="14.5703125" style="51" customWidth="1"/>
    <col min="8201" max="8201" width="17.7109375" style="51" customWidth="1"/>
    <col min="8202" max="8202" width="19.7109375" style="51" customWidth="1"/>
    <col min="8203" max="8448" width="11.5703125" style="51"/>
    <col min="8449" max="8449" width="3.7109375" style="51" customWidth="1"/>
    <col min="8450" max="8451" width="10.7109375" style="51" customWidth="1"/>
    <col min="8452" max="8455" width="9.28515625" style="51" customWidth="1"/>
    <col min="8456" max="8456" width="14.5703125" style="51" customWidth="1"/>
    <col min="8457" max="8457" width="17.7109375" style="51" customWidth="1"/>
    <col min="8458" max="8458" width="19.7109375" style="51" customWidth="1"/>
    <col min="8459" max="8704" width="11.5703125" style="51"/>
    <col min="8705" max="8705" width="3.7109375" style="51" customWidth="1"/>
    <col min="8706" max="8707" width="10.7109375" style="51" customWidth="1"/>
    <col min="8708" max="8711" width="9.28515625" style="51" customWidth="1"/>
    <col min="8712" max="8712" width="14.5703125" style="51" customWidth="1"/>
    <col min="8713" max="8713" width="17.7109375" style="51" customWidth="1"/>
    <col min="8714" max="8714" width="19.7109375" style="51" customWidth="1"/>
    <col min="8715" max="8960" width="11.5703125" style="51"/>
    <col min="8961" max="8961" width="3.7109375" style="51" customWidth="1"/>
    <col min="8962" max="8963" width="10.7109375" style="51" customWidth="1"/>
    <col min="8964" max="8967" width="9.28515625" style="51" customWidth="1"/>
    <col min="8968" max="8968" width="14.5703125" style="51" customWidth="1"/>
    <col min="8969" max="8969" width="17.7109375" style="51" customWidth="1"/>
    <col min="8970" max="8970" width="19.7109375" style="51" customWidth="1"/>
    <col min="8971" max="9216" width="11.5703125" style="51"/>
    <col min="9217" max="9217" width="3.7109375" style="51" customWidth="1"/>
    <col min="9218" max="9219" width="10.7109375" style="51" customWidth="1"/>
    <col min="9220" max="9223" width="9.28515625" style="51" customWidth="1"/>
    <col min="9224" max="9224" width="14.5703125" style="51" customWidth="1"/>
    <col min="9225" max="9225" width="17.7109375" style="51" customWidth="1"/>
    <col min="9226" max="9226" width="19.7109375" style="51" customWidth="1"/>
    <col min="9227" max="9472" width="11.5703125" style="51"/>
    <col min="9473" max="9473" width="3.7109375" style="51" customWidth="1"/>
    <col min="9474" max="9475" width="10.7109375" style="51" customWidth="1"/>
    <col min="9476" max="9479" width="9.28515625" style="51" customWidth="1"/>
    <col min="9480" max="9480" width="14.5703125" style="51" customWidth="1"/>
    <col min="9481" max="9481" width="17.7109375" style="51" customWidth="1"/>
    <col min="9482" max="9482" width="19.7109375" style="51" customWidth="1"/>
    <col min="9483" max="9728" width="11.5703125" style="51"/>
    <col min="9729" max="9729" width="3.7109375" style="51" customWidth="1"/>
    <col min="9730" max="9731" width="10.7109375" style="51" customWidth="1"/>
    <col min="9732" max="9735" width="9.28515625" style="51" customWidth="1"/>
    <col min="9736" max="9736" width="14.5703125" style="51" customWidth="1"/>
    <col min="9737" max="9737" width="17.7109375" style="51" customWidth="1"/>
    <col min="9738" max="9738" width="19.7109375" style="51" customWidth="1"/>
    <col min="9739" max="9984" width="11.5703125" style="51"/>
    <col min="9985" max="9985" width="3.7109375" style="51" customWidth="1"/>
    <col min="9986" max="9987" width="10.7109375" style="51" customWidth="1"/>
    <col min="9988" max="9991" width="9.28515625" style="51" customWidth="1"/>
    <col min="9992" max="9992" width="14.5703125" style="51" customWidth="1"/>
    <col min="9993" max="9993" width="17.7109375" style="51" customWidth="1"/>
    <col min="9994" max="9994" width="19.7109375" style="51" customWidth="1"/>
    <col min="9995" max="10240" width="11.5703125" style="51"/>
    <col min="10241" max="10241" width="3.7109375" style="51" customWidth="1"/>
    <col min="10242" max="10243" width="10.7109375" style="51" customWidth="1"/>
    <col min="10244" max="10247" width="9.28515625" style="51" customWidth="1"/>
    <col min="10248" max="10248" width="14.5703125" style="51" customWidth="1"/>
    <col min="10249" max="10249" width="17.7109375" style="51" customWidth="1"/>
    <col min="10250" max="10250" width="19.7109375" style="51" customWidth="1"/>
    <col min="10251" max="10496" width="11.5703125" style="51"/>
    <col min="10497" max="10497" width="3.7109375" style="51" customWidth="1"/>
    <col min="10498" max="10499" width="10.7109375" style="51" customWidth="1"/>
    <col min="10500" max="10503" width="9.28515625" style="51" customWidth="1"/>
    <col min="10504" max="10504" width="14.5703125" style="51" customWidth="1"/>
    <col min="10505" max="10505" width="17.7109375" style="51" customWidth="1"/>
    <col min="10506" max="10506" width="19.7109375" style="51" customWidth="1"/>
    <col min="10507" max="10752" width="11.5703125" style="51"/>
    <col min="10753" max="10753" width="3.7109375" style="51" customWidth="1"/>
    <col min="10754" max="10755" width="10.7109375" style="51" customWidth="1"/>
    <col min="10756" max="10759" width="9.28515625" style="51" customWidth="1"/>
    <col min="10760" max="10760" width="14.5703125" style="51" customWidth="1"/>
    <col min="10761" max="10761" width="17.7109375" style="51" customWidth="1"/>
    <col min="10762" max="10762" width="19.7109375" style="51" customWidth="1"/>
    <col min="10763" max="11008" width="11.5703125" style="51"/>
    <col min="11009" max="11009" width="3.7109375" style="51" customWidth="1"/>
    <col min="11010" max="11011" width="10.7109375" style="51" customWidth="1"/>
    <col min="11012" max="11015" width="9.28515625" style="51" customWidth="1"/>
    <col min="11016" max="11016" width="14.5703125" style="51" customWidth="1"/>
    <col min="11017" max="11017" width="17.7109375" style="51" customWidth="1"/>
    <col min="11018" max="11018" width="19.7109375" style="51" customWidth="1"/>
    <col min="11019" max="11264" width="11.5703125" style="51"/>
    <col min="11265" max="11265" width="3.7109375" style="51" customWidth="1"/>
    <col min="11266" max="11267" width="10.7109375" style="51" customWidth="1"/>
    <col min="11268" max="11271" width="9.28515625" style="51" customWidth="1"/>
    <col min="11272" max="11272" width="14.5703125" style="51" customWidth="1"/>
    <col min="11273" max="11273" width="17.7109375" style="51" customWidth="1"/>
    <col min="11274" max="11274" width="19.7109375" style="51" customWidth="1"/>
    <col min="11275" max="11520" width="11.5703125" style="51"/>
    <col min="11521" max="11521" width="3.7109375" style="51" customWidth="1"/>
    <col min="11522" max="11523" width="10.7109375" style="51" customWidth="1"/>
    <col min="11524" max="11527" width="9.28515625" style="51" customWidth="1"/>
    <col min="11528" max="11528" width="14.5703125" style="51" customWidth="1"/>
    <col min="11529" max="11529" width="17.7109375" style="51" customWidth="1"/>
    <col min="11530" max="11530" width="19.7109375" style="51" customWidth="1"/>
    <col min="11531" max="11776" width="11.5703125" style="51"/>
    <col min="11777" max="11777" width="3.7109375" style="51" customWidth="1"/>
    <col min="11778" max="11779" width="10.7109375" style="51" customWidth="1"/>
    <col min="11780" max="11783" width="9.28515625" style="51" customWidth="1"/>
    <col min="11784" max="11784" width="14.5703125" style="51" customWidth="1"/>
    <col min="11785" max="11785" width="17.7109375" style="51" customWidth="1"/>
    <col min="11786" max="11786" width="19.7109375" style="51" customWidth="1"/>
    <col min="11787" max="12032" width="11.5703125" style="51"/>
    <col min="12033" max="12033" width="3.7109375" style="51" customWidth="1"/>
    <col min="12034" max="12035" width="10.7109375" style="51" customWidth="1"/>
    <col min="12036" max="12039" width="9.28515625" style="51" customWidth="1"/>
    <col min="12040" max="12040" width="14.5703125" style="51" customWidth="1"/>
    <col min="12041" max="12041" width="17.7109375" style="51" customWidth="1"/>
    <col min="12042" max="12042" width="19.7109375" style="51" customWidth="1"/>
    <col min="12043" max="12288" width="11.5703125" style="51"/>
    <col min="12289" max="12289" width="3.7109375" style="51" customWidth="1"/>
    <col min="12290" max="12291" width="10.7109375" style="51" customWidth="1"/>
    <col min="12292" max="12295" width="9.28515625" style="51" customWidth="1"/>
    <col min="12296" max="12296" width="14.5703125" style="51" customWidth="1"/>
    <col min="12297" max="12297" width="17.7109375" style="51" customWidth="1"/>
    <col min="12298" max="12298" width="19.7109375" style="51" customWidth="1"/>
    <col min="12299" max="12544" width="11.5703125" style="51"/>
    <col min="12545" max="12545" width="3.7109375" style="51" customWidth="1"/>
    <col min="12546" max="12547" width="10.7109375" style="51" customWidth="1"/>
    <col min="12548" max="12551" width="9.28515625" style="51" customWidth="1"/>
    <col min="12552" max="12552" width="14.5703125" style="51" customWidth="1"/>
    <col min="12553" max="12553" width="17.7109375" style="51" customWidth="1"/>
    <col min="12554" max="12554" width="19.7109375" style="51" customWidth="1"/>
    <col min="12555" max="12800" width="11.5703125" style="51"/>
    <col min="12801" max="12801" width="3.7109375" style="51" customWidth="1"/>
    <col min="12802" max="12803" width="10.7109375" style="51" customWidth="1"/>
    <col min="12804" max="12807" width="9.28515625" style="51" customWidth="1"/>
    <col min="12808" max="12808" width="14.5703125" style="51" customWidth="1"/>
    <col min="12809" max="12809" width="17.7109375" style="51" customWidth="1"/>
    <col min="12810" max="12810" width="19.7109375" style="51" customWidth="1"/>
    <col min="12811" max="13056" width="11.5703125" style="51"/>
    <col min="13057" max="13057" width="3.7109375" style="51" customWidth="1"/>
    <col min="13058" max="13059" width="10.7109375" style="51" customWidth="1"/>
    <col min="13060" max="13063" width="9.28515625" style="51" customWidth="1"/>
    <col min="13064" max="13064" width="14.5703125" style="51" customWidth="1"/>
    <col min="13065" max="13065" width="17.7109375" style="51" customWidth="1"/>
    <col min="13066" max="13066" width="19.7109375" style="51" customWidth="1"/>
    <col min="13067" max="13312" width="11.5703125" style="51"/>
    <col min="13313" max="13313" width="3.7109375" style="51" customWidth="1"/>
    <col min="13314" max="13315" width="10.7109375" style="51" customWidth="1"/>
    <col min="13316" max="13319" width="9.28515625" style="51" customWidth="1"/>
    <col min="13320" max="13320" width="14.5703125" style="51" customWidth="1"/>
    <col min="13321" max="13321" width="17.7109375" style="51" customWidth="1"/>
    <col min="13322" max="13322" width="19.7109375" style="51" customWidth="1"/>
    <col min="13323" max="13568" width="11.5703125" style="51"/>
    <col min="13569" max="13569" width="3.7109375" style="51" customWidth="1"/>
    <col min="13570" max="13571" width="10.7109375" style="51" customWidth="1"/>
    <col min="13572" max="13575" width="9.28515625" style="51" customWidth="1"/>
    <col min="13576" max="13576" width="14.5703125" style="51" customWidth="1"/>
    <col min="13577" max="13577" width="17.7109375" style="51" customWidth="1"/>
    <col min="13578" max="13578" width="19.7109375" style="51" customWidth="1"/>
    <col min="13579" max="13824" width="11.5703125" style="51"/>
    <col min="13825" max="13825" width="3.7109375" style="51" customWidth="1"/>
    <col min="13826" max="13827" width="10.7109375" style="51" customWidth="1"/>
    <col min="13828" max="13831" width="9.28515625" style="51" customWidth="1"/>
    <col min="13832" max="13832" width="14.5703125" style="51" customWidth="1"/>
    <col min="13833" max="13833" width="17.7109375" style="51" customWidth="1"/>
    <col min="13834" max="13834" width="19.7109375" style="51" customWidth="1"/>
    <col min="13835" max="14080" width="11.5703125" style="51"/>
    <col min="14081" max="14081" width="3.7109375" style="51" customWidth="1"/>
    <col min="14082" max="14083" width="10.7109375" style="51" customWidth="1"/>
    <col min="14084" max="14087" width="9.28515625" style="51" customWidth="1"/>
    <col min="14088" max="14088" width="14.5703125" style="51" customWidth="1"/>
    <col min="14089" max="14089" width="17.7109375" style="51" customWidth="1"/>
    <col min="14090" max="14090" width="19.7109375" style="51" customWidth="1"/>
    <col min="14091" max="14336" width="11.5703125" style="51"/>
    <col min="14337" max="14337" width="3.7109375" style="51" customWidth="1"/>
    <col min="14338" max="14339" width="10.7109375" style="51" customWidth="1"/>
    <col min="14340" max="14343" width="9.28515625" style="51" customWidth="1"/>
    <col min="14344" max="14344" width="14.5703125" style="51" customWidth="1"/>
    <col min="14345" max="14345" width="17.7109375" style="51" customWidth="1"/>
    <col min="14346" max="14346" width="19.7109375" style="51" customWidth="1"/>
    <col min="14347" max="14592" width="11.5703125" style="51"/>
    <col min="14593" max="14593" width="3.7109375" style="51" customWidth="1"/>
    <col min="14594" max="14595" width="10.7109375" style="51" customWidth="1"/>
    <col min="14596" max="14599" width="9.28515625" style="51" customWidth="1"/>
    <col min="14600" max="14600" width="14.5703125" style="51" customWidth="1"/>
    <col min="14601" max="14601" width="17.7109375" style="51" customWidth="1"/>
    <col min="14602" max="14602" width="19.7109375" style="51" customWidth="1"/>
    <col min="14603" max="14848" width="11.5703125" style="51"/>
    <col min="14849" max="14849" width="3.7109375" style="51" customWidth="1"/>
    <col min="14850" max="14851" width="10.7109375" style="51" customWidth="1"/>
    <col min="14852" max="14855" width="9.28515625" style="51" customWidth="1"/>
    <col min="14856" max="14856" width="14.5703125" style="51" customWidth="1"/>
    <col min="14857" max="14857" width="17.7109375" style="51" customWidth="1"/>
    <col min="14858" max="14858" width="19.7109375" style="51" customWidth="1"/>
    <col min="14859" max="15104" width="11.5703125" style="51"/>
    <col min="15105" max="15105" width="3.7109375" style="51" customWidth="1"/>
    <col min="15106" max="15107" width="10.7109375" style="51" customWidth="1"/>
    <col min="15108" max="15111" width="9.28515625" style="51" customWidth="1"/>
    <col min="15112" max="15112" width="14.5703125" style="51" customWidth="1"/>
    <col min="15113" max="15113" width="17.7109375" style="51" customWidth="1"/>
    <col min="15114" max="15114" width="19.7109375" style="51" customWidth="1"/>
    <col min="15115" max="15360" width="11.5703125" style="51"/>
    <col min="15361" max="15361" width="3.7109375" style="51" customWidth="1"/>
    <col min="15362" max="15363" width="10.7109375" style="51" customWidth="1"/>
    <col min="15364" max="15367" width="9.28515625" style="51" customWidth="1"/>
    <col min="15368" max="15368" width="14.5703125" style="51" customWidth="1"/>
    <col min="15369" max="15369" width="17.7109375" style="51" customWidth="1"/>
    <col min="15370" max="15370" width="19.7109375" style="51" customWidth="1"/>
    <col min="15371" max="15616" width="11.5703125" style="51"/>
    <col min="15617" max="15617" width="3.7109375" style="51" customWidth="1"/>
    <col min="15618" max="15619" width="10.7109375" style="51" customWidth="1"/>
    <col min="15620" max="15623" width="9.28515625" style="51" customWidth="1"/>
    <col min="15624" max="15624" width="14.5703125" style="51" customWidth="1"/>
    <col min="15625" max="15625" width="17.7109375" style="51" customWidth="1"/>
    <col min="15626" max="15626" width="19.7109375" style="51" customWidth="1"/>
    <col min="15627" max="15872" width="11.5703125" style="51"/>
    <col min="15873" max="15873" width="3.7109375" style="51" customWidth="1"/>
    <col min="15874" max="15875" width="10.7109375" style="51" customWidth="1"/>
    <col min="15876" max="15879" width="9.28515625" style="51" customWidth="1"/>
    <col min="15880" max="15880" width="14.5703125" style="51" customWidth="1"/>
    <col min="15881" max="15881" width="17.7109375" style="51" customWidth="1"/>
    <col min="15882" max="15882" width="19.7109375" style="51" customWidth="1"/>
    <col min="15883" max="16128" width="11.5703125" style="51"/>
    <col min="16129" max="16129" width="3.7109375" style="51" customWidth="1"/>
    <col min="16130" max="16131" width="10.7109375" style="51" customWidth="1"/>
    <col min="16132" max="16135" width="9.28515625" style="51" customWidth="1"/>
    <col min="16136" max="16136" width="14.5703125" style="51" customWidth="1"/>
    <col min="16137" max="16137" width="17.7109375" style="51" customWidth="1"/>
    <col min="16138" max="16138" width="19.7109375" style="51" customWidth="1"/>
    <col min="16139" max="16384" width="11.5703125" style="51"/>
  </cols>
  <sheetData>
    <row r="1" spans="1:256" ht="12.75" customHeight="1" x14ac:dyDescent="0.2">
      <c r="C1" s="199" t="s">
        <v>295</v>
      </c>
      <c r="D1" s="199"/>
      <c r="E1" s="199"/>
      <c r="F1" s="199"/>
      <c r="G1" s="199"/>
      <c r="H1" s="199"/>
      <c r="I1" s="199"/>
    </row>
    <row r="2" spans="1:256" x14ac:dyDescent="0.2">
      <c r="F2" s="51"/>
      <c r="G2" s="51"/>
      <c r="H2" s="51"/>
      <c r="I2" s="51"/>
    </row>
    <row r="3" spans="1:256" x14ac:dyDescent="0.2">
      <c r="F3" s="51"/>
      <c r="G3" s="51"/>
      <c r="H3" s="51"/>
      <c r="I3" s="51"/>
    </row>
    <row r="4" spans="1:256" s="52" customFormat="1" ht="15.75" x14ac:dyDescent="0.25">
      <c r="A4" s="92" t="s">
        <v>230</v>
      </c>
      <c r="B4" s="93"/>
      <c r="C4" s="94"/>
      <c r="G4" s="92" t="s">
        <v>231</v>
      </c>
      <c r="H4"/>
    </row>
    <row r="5" spans="1:256" s="52" customFormat="1" ht="15.75" x14ac:dyDescent="0.25">
      <c r="A5" s="95" t="s">
        <v>232</v>
      </c>
      <c r="B5" s="96"/>
      <c r="C5" s="94"/>
      <c r="G5" s="95" t="s">
        <v>233</v>
      </c>
      <c r="H5"/>
    </row>
    <row r="6" spans="1:256" s="52" customFormat="1" ht="15.75" x14ac:dyDescent="0.25">
      <c r="A6" s="97" t="s">
        <v>4</v>
      </c>
      <c r="B6" s="98"/>
      <c r="C6" s="20"/>
      <c r="G6" s="97" t="s">
        <v>183</v>
      </c>
      <c r="H6" s="99"/>
    </row>
    <row r="7" spans="1:256" s="52" customFormat="1" ht="15.75" x14ac:dyDescent="0.25">
      <c r="A7" s="97" t="s">
        <v>235</v>
      </c>
      <c r="B7" s="98"/>
      <c r="C7" s="100"/>
      <c r="G7" s="97" t="s">
        <v>5</v>
      </c>
      <c r="H7" s="101"/>
    </row>
    <row r="8" spans="1:256" s="52" customFormat="1" ht="15.75" x14ac:dyDescent="0.25">
      <c r="A8"/>
      <c r="B8" s="102"/>
      <c r="C8"/>
      <c r="G8" s="97"/>
      <c r="H8" s="99"/>
    </row>
    <row r="9" spans="1:256" s="52" customFormat="1" ht="15.75" x14ac:dyDescent="0.25">
      <c r="A9" s="97" t="s">
        <v>236</v>
      </c>
      <c r="B9" s="98"/>
      <c r="C9" s="1"/>
      <c r="G9" s="97" t="s">
        <v>237</v>
      </c>
      <c r="H9" s="99"/>
    </row>
    <row r="10" spans="1:256" s="52" customFormat="1" ht="15.75" x14ac:dyDescent="0.25">
      <c r="A10" s="97" t="s">
        <v>296</v>
      </c>
      <c r="B10" s="98"/>
      <c r="C10" s="1"/>
      <c r="G10" s="97" t="s">
        <v>296</v>
      </c>
      <c r="H10" s="98"/>
      <c r="I10" s="54"/>
    </row>
    <row r="11" spans="1:256" s="52" customFormat="1" ht="11.25" customHeight="1" x14ac:dyDescent="0.25">
      <c r="A11" s="2"/>
      <c r="D11" s="53"/>
      <c r="E11" s="54"/>
    </row>
    <row r="12" spans="1:256" ht="15.75" x14ac:dyDescent="0.2">
      <c r="A12" s="200" t="s">
        <v>187</v>
      </c>
      <c r="B12" s="200"/>
      <c r="C12" s="200"/>
      <c r="D12" s="200"/>
      <c r="E12" s="200"/>
      <c r="F12" s="200"/>
      <c r="G12" s="200"/>
      <c r="H12" s="200"/>
      <c r="I12" s="200"/>
    </row>
    <row r="13" spans="1:256" ht="15.75" customHeight="1" x14ac:dyDescent="0.2">
      <c r="A13" s="201" t="s">
        <v>159</v>
      </c>
      <c r="B13" s="202"/>
      <c r="C13" s="202"/>
      <c r="D13" s="202"/>
      <c r="E13" s="202"/>
      <c r="F13" s="202"/>
      <c r="G13" s="202"/>
      <c r="H13" s="202"/>
      <c r="I13" s="202"/>
    </row>
    <row r="14" spans="1:256" x14ac:dyDescent="0.2">
      <c r="A14" s="55"/>
      <c r="B14" s="56"/>
      <c r="C14" s="57"/>
      <c r="D14" s="57"/>
      <c r="E14" s="57"/>
      <c r="F14" s="56"/>
      <c r="G14" s="56"/>
      <c r="H14" s="56"/>
      <c r="I14" s="56"/>
      <c r="J14" s="56"/>
      <c r="K14" s="56"/>
      <c r="L14" s="56"/>
      <c r="M14" s="56"/>
      <c r="N14" s="56"/>
      <c r="O14" s="56"/>
      <c r="P14" s="56"/>
      <c r="Q14" s="56"/>
      <c r="R14" s="56"/>
      <c r="S14" s="56"/>
      <c r="T14" s="56"/>
      <c r="U14" s="56"/>
      <c r="V14" s="56"/>
      <c r="W14" s="56"/>
      <c r="X14" s="56"/>
      <c r="Y14" s="56"/>
      <c r="Z14" s="56"/>
      <c r="AA14" s="56"/>
      <c r="AB14" s="56"/>
      <c r="AC14" s="56"/>
      <c r="AD14" s="56"/>
      <c r="AE14" s="56"/>
      <c r="AF14" s="56"/>
      <c r="AG14" s="56"/>
      <c r="AH14" s="56"/>
      <c r="AI14" s="56"/>
      <c r="AJ14" s="56"/>
      <c r="AK14" s="56"/>
      <c r="AL14" s="56"/>
      <c r="AM14" s="56"/>
      <c r="AN14" s="56"/>
      <c r="AO14" s="56"/>
      <c r="AP14" s="56"/>
      <c r="AQ14" s="56"/>
      <c r="AR14" s="56"/>
      <c r="AS14" s="56"/>
      <c r="AT14" s="56"/>
      <c r="AU14" s="56"/>
      <c r="AV14" s="56"/>
      <c r="AW14" s="56"/>
      <c r="AX14" s="56"/>
      <c r="AY14" s="56"/>
      <c r="AZ14" s="56"/>
      <c r="BA14" s="56"/>
      <c r="BB14" s="56"/>
      <c r="BC14" s="56"/>
      <c r="BD14" s="56"/>
      <c r="BE14" s="56"/>
      <c r="BF14" s="56"/>
      <c r="BG14" s="56"/>
      <c r="BH14" s="56"/>
      <c r="BI14" s="56"/>
      <c r="BJ14" s="56"/>
      <c r="BK14" s="56"/>
      <c r="BL14" s="56"/>
      <c r="BM14" s="56"/>
      <c r="BN14" s="56"/>
      <c r="BO14" s="56"/>
      <c r="BP14" s="56"/>
      <c r="BQ14" s="56"/>
      <c r="BR14" s="56"/>
      <c r="BS14" s="56"/>
      <c r="BT14" s="56"/>
      <c r="BU14" s="56"/>
      <c r="BV14" s="56"/>
      <c r="BW14" s="56"/>
      <c r="BX14" s="56"/>
      <c r="BY14" s="56"/>
      <c r="BZ14" s="56"/>
      <c r="CA14" s="56"/>
      <c r="CB14" s="56"/>
      <c r="CC14" s="56"/>
      <c r="CD14" s="56"/>
      <c r="CE14" s="56"/>
      <c r="CF14" s="56"/>
      <c r="CG14" s="56"/>
      <c r="CH14" s="56"/>
      <c r="CI14" s="56"/>
      <c r="CJ14" s="56"/>
      <c r="CK14" s="56"/>
      <c r="CL14" s="56"/>
      <c r="CM14" s="56"/>
      <c r="CN14" s="56"/>
      <c r="CO14" s="56"/>
      <c r="CP14" s="56"/>
      <c r="CQ14" s="56"/>
      <c r="CR14" s="56"/>
      <c r="CS14" s="56"/>
      <c r="CT14" s="56"/>
      <c r="CU14" s="56"/>
      <c r="CV14" s="56"/>
      <c r="CW14" s="56"/>
      <c r="CX14" s="56"/>
      <c r="CY14" s="56"/>
      <c r="CZ14" s="56"/>
      <c r="DA14" s="56"/>
      <c r="DB14" s="56"/>
      <c r="DC14" s="56"/>
      <c r="DD14" s="56"/>
      <c r="DE14" s="56"/>
      <c r="DF14" s="56"/>
      <c r="DG14" s="56"/>
      <c r="DH14" s="56"/>
      <c r="DI14" s="56"/>
      <c r="DJ14" s="56"/>
      <c r="DK14" s="56"/>
      <c r="DL14" s="56"/>
      <c r="DM14" s="56"/>
      <c r="DN14" s="56"/>
      <c r="DO14" s="56"/>
      <c r="DP14" s="56"/>
      <c r="DQ14" s="56"/>
      <c r="DR14" s="56"/>
      <c r="DS14" s="56"/>
      <c r="DT14" s="56"/>
      <c r="DU14" s="56"/>
      <c r="DV14" s="56"/>
      <c r="DW14" s="56"/>
      <c r="DX14" s="56"/>
      <c r="DY14" s="56"/>
      <c r="DZ14" s="56"/>
      <c r="EA14" s="56"/>
      <c r="EB14" s="56"/>
      <c r="EC14" s="56"/>
      <c r="ED14" s="56"/>
      <c r="EE14" s="56"/>
      <c r="EF14" s="56"/>
      <c r="EG14" s="56"/>
      <c r="EH14" s="56"/>
      <c r="EI14" s="56"/>
      <c r="EJ14" s="56"/>
      <c r="EK14" s="56"/>
      <c r="EL14" s="56"/>
      <c r="EM14" s="56"/>
      <c r="EN14" s="56"/>
      <c r="EO14" s="56"/>
      <c r="EP14" s="56"/>
      <c r="EQ14" s="56"/>
      <c r="ER14" s="56"/>
      <c r="ES14" s="56"/>
      <c r="ET14" s="56"/>
      <c r="EU14" s="56"/>
      <c r="EV14" s="56"/>
      <c r="EW14" s="56"/>
      <c r="EX14" s="56"/>
      <c r="EY14" s="56"/>
      <c r="EZ14" s="56"/>
      <c r="FA14" s="56"/>
      <c r="FB14" s="56"/>
      <c r="FC14" s="56"/>
      <c r="FD14" s="56"/>
      <c r="FE14" s="56"/>
      <c r="FF14" s="56"/>
      <c r="FG14" s="56"/>
      <c r="FH14" s="56"/>
      <c r="FI14" s="56"/>
      <c r="FJ14" s="56"/>
      <c r="FK14" s="56"/>
      <c r="FL14" s="56"/>
      <c r="FM14" s="56"/>
      <c r="FN14" s="56"/>
      <c r="FO14" s="56"/>
      <c r="FP14" s="56"/>
      <c r="FQ14" s="56"/>
      <c r="FR14" s="56"/>
      <c r="FS14" s="56"/>
      <c r="FT14" s="56"/>
      <c r="FU14" s="56"/>
      <c r="FV14" s="56"/>
      <c r="FW14" s="56"/>
      <c r="FX14" s="56"/>
      <c r="FY14" s="56"/>
      <c r="FZ14" s="56"/>
      <c r="GA14" s="56"/>
      <c r="GB14" s="56"/>
      <c r="GC14" s="56"/>
      <c r="GD14" s="56"/>
      <c r="GE14" s="56"/>
      <c r="GF14" s="56"/>
      <c r="GG14" s="56"/>
      <c r="GH14" s="56"/>
      <c r="GI14" s="56"/>
      <c r="GJ14" s="56"/>
      <c r="GK14" s="56"/>
      <c r="GL14" s="56"/>
      <c r="GM14" s="56"/>
      <c r="GN14" s="56"/>
      <c r="GO14" s="56"/>
      <c r="GP14" s="56"/>
      <c r="GQ14" s="56"/>
      <c r="GR14" s="56"/>
      <c r="GS14" s="56"/>
      <c r="GT14" s="56"/>
      <c r="GU14" s="56"/>
      <c r="GV14" s="56"/>
      <c r="GW14" s="56"/>
      <c r="GX14" s="56"/>
      <c r="GY14" s="56"/>
      <c r="GZ14" s="56"/>
      <c r="HA14" s="56"/>
      <c r="HB14" s="56"/>
      <c r="HC14" s="56"/>
      <c r="HD14" s="56"/>
      <c r="HE14" s="56"/>
      <c r="HF14" s="56"/>
      <c r="HG14" s="56"/>
      <c r="HH14" s="56"/>
      <c r="HI14" s="56"/>
      <c r="HJ14" s="56"/>
      <c r="HK14" s="56"/>
      <c r="HL14" s="56"/>
      <c r="HM14" s="56"/>
      <c r="HN14" s="56"/>
      <c r="HO14" s="56"/>
      <c r="HP14" s="56"/>
      <c r="HQ14" s="56"/>
      <c r="HR14" s="56"/>
      <c r="HS14" s="56"/>
      <c r="HT14" s="56"/>
      <c r="HU14" s="56"/>
      <c r="HV14" s="56"/>
      <c r="HW14" s="56"/>
      <c r="HX14" s="56"/>
      <c r="HY14" s="56"/>
      <c r="HZ14" s="56"/>
      <c r="IA14" s="56"/>
      <c r="IB14" s="56"/>
      <c r="IC14" s="56"/>
      <c r="ID14" s="56"/>
      <c r="IE14" s="56"/>
      <c r="IF14" s="56"/>
      <c r="IG14" s="56"/>
      <c r="IH14" s="56"/>
      <c r="II14" s="56"/>
      <c r="IJ14" s="56"/>
      <c r="IK14" s="56"/>
      <c r="IL14" s="56"/>
      <c r="IM14" s="56"/>
      <c r="IN14" s="56"/>
      <c r="IO14" s="56"/>
      <c r="IP14" s="56"/>
      <c r="IQ14" s="56"/>
      <c r="IR14" s="56"/>
      <c r="IS14" s="56"/>
      <c r="IT14" s="56"/>
      <c r="IU14" s="56"/>
      <c r="IV14" s="56"/>
    </row>
    <row r="15" spans="1:256" ht="56.25" customHeight="1" x14ac:dyDescent="0.25">
      <c r="A15" s="203" t="s">
        <v>360</v>
      </c>
      <c r="B15" s="203"/>
      <c r="C15" s="203"/>
      <c r="D15" s="203"/>
      <c r="E15" s="203"/>
      <c r="F15" s="203"/>
      <c r="G15" s="203"/>
      <c r="H15" s="203"/>
      <c r="I15" s="203"/>
      <c r="J15" s="58"/>
      <c r="K15" s="56"/>
      <c r="L15" s="56"/>
      <c r="M15" s="56"/>
      <c r="N15" s="56"/>
      <c r="O15" s="56"/>
      <c r="P15" s="56"/>
      <c r="Q15" s="56"/>
      <c r="R15" s="56"/>
      <c r="S15" s="56"/>
      <c r="T15" s="56"/>
      <c r="U15" s="56"/>
      <c r="V15" s="56"/>
      <c r="W15" s="56"/>
      <c r="X15" s="56"/>
      <c r="Y15" s="56"/>
      <c r="Z15" s="56"/>
      <c r="AA15" s="56"/>
      <c r="AB15" s="56"/>
      <c r="AC15" s="56"/>
      <c r="AD15" s="56"/>
      <c r="AE15" s="56"/>
      <c r="AF15" s="56"/>
      <c r="AG15" s="56"/>
      <c r="AH15" s="56"/>
      <c r="AI15" s="56"/>
      <c r="AJ15" s="56"/>
      <c r="AK15" s="56"/>
      <c r="AL15" s="56"/>
      <c r="AM15" s="56"/>
      <c r="AN15" s="56"/>
      <c r="AO15" s="56"/>
      <c r="AP15" s="56"/>
      <c r="AQ15" s="56"/>
      <c r="AR15" s="56"/>
      <c r="AS15" s="56"/>
      <c r="AT15" s="56"/>
      <c r="AU15" s="56"/>
      <c r="AV15" s="56"/>
      <c r="AW15" s="56"/>
      <c r="AX15" s="56"/>
      <c r="AY15" s="56"/>
      <c r="AZ15" s="56"/>
      <c r="BA15" s="56"/>
      <c r="BB15" s="56"/>
      <c r="BC15" s="56"/>
      <c r="BD15" s="56"/>
      <c r="BE15" s="56"/>
      <c r="BF15" s="56"/>
      <c r="BG15" s="56"/>
      <c r="BH15" s="56"/>
      <c r="BI15" s="56"/>
      <c r="BJ15" s="56"/>
      <c r="BK15" s="56"/>
      <c r="BL15" s="56"/>
      <c r="BM15" s="56"/>
      <c r="BN15" s="56"/>
      <c r="BO15" s="56"/>
      <c r="BP15" s="56"/>
      <c r="BQ15" s="56"/>
      <c r="BR15" s="56"/>
      <c r="BS15" s="56"/>
      <c r="BT15" s="56"/>
      <c r="BU15" s="56"/>
      <c r="BV15" s="56"/>
      <c r="BW15" s="56"/>
      <c r="BX15" s="56"/>
      <c r="BY15" s="56"/>
      <c r="BZ15" s="56"/>
      <c r="CA15" s="56"/>
      <c r="CB15" s="56"/>
      <c r="CC15" s="56"/>
      <c r="CD15" s="56"/>
      <c r="CE15" s="56"/>
      <c r="CF15" s="56"/>
      <c r="CG15" s="56"/>
      <c r="CH15" s="56"/>
      <c r="CI15" s="56"/>
      <c r="CJ15" s="56"/>
      <c r="CK15" s="56"/>
      <c r="CL15" s="56"/>
      <c r="CM15" s="56"/>
      <c r="CN15" s="56"/>
      <c r="CO15" s="56"/>
      <c r="CP15" s="56"/>
      <c r="CQ15" s="56"/>
      <c r="CR15" s="56"/>
      <c r="CS15" s="56"/>
      <c r="CT15" s="56"/>
      <c r="CU15" s="56"/>
      <c r="CV15" s="56"/>
      <c r="CW15" s="56"/>
      <c r="CX15" s="56"/>
      <c r="CY15" s="56"/>
      <c r="CZ15" s="56"/>
      <c r="DA15" s="56"/>
      <c r="DB15" s="56"/>
      <c r="DC15" s="56"/>
      <c r="DD15" s="56"/>
      <c r="DE15" s="56"/>
      <c r="DF15" s="56"/>
      <c r="DG15" s="56"/>
      <c r="DH15" s="56"/>
      <c r="DI15" s="56"/>
      <c r="DJ15" s="56"/>
      <c r="DK15" s="56"/>
      <c r="DL15" s="56"/>
      <c r="DM15" s="56"/>
      <c r="DN15" s="56"/>
      <c r="DO15" s="56"/>
      <c r="DP15" s="56"/>
      <c r="DQ15" s="56"/>
      <c r="DR15" s="56"/>
      <c r="DS15" s="56"/>
      <c r="DT15" s="56"/>
      <c r="DU15" s="56"/>
      <c r="DV15" s="56"/>
      <c r="DW15" s="56"/>
      <c r="DX15" s="56"/>
      <c r="DY15" s="56"/>
      <c r="DZ15" s="56"/>
      <c r="EA15" s="56"/>
      <c r="EB15" s="56"/>
      <c r="EC15" s="56"/>
      <c r="ED15" s="56"/>
      <c r="EE15" s="56"/>
      <c r="EF15" s="56"/>
      <c r="EG15" s="56"/>
      <c r="EH15" s="56"/>
      <c r="EI15" s="56"/>
      <c r="EJ15" s="56"/>
      <c r="EK15" s="56"/>
      <c r="EL15" s="56"/>
      <c r="EM15" s="56"/>
      <c r="EN15" s="56"/>
      <c r="EO15" s="56"/>
      <c r="EP15" s="56"/>
      <c r="EQ15" s="56"/>
      <c r="ER15" s="56"/>
      <c r="ES15" s="56"/>
      <c r="ET15" s="56"/>
      <c r="EU15" s="56"/>
      <c r="EV15" s="56"/>
      <c r="EW15" s="56"/>
      <c r="EX15" s="56"/>
      <c r="EY15" s="56"/>
      <c r="EZ15" s="56"/>
      <c r="FA15" s="56"/>
      <c r="FB15" s="56"/>
      <c r="FC15" s="56"/>
      <c r="FD15" s="56"/>
      <c r="FE15" s="56"/>
      <c r="FF15" s="56"/>
      <c r="FG15" s="56"/>
      <c r="FH15" s="56"/>
      <c r="FI15" s="56"/>
      <c r="FJ15" s="56"/>
      <c r="FK15" s="56"/>
      <c r="FL15" s="56"/>
      <c r="FM15" s="56"/>
      <c r="FN15" s="56"/>
      <c r="FO15" s="56"/>
      <c r="FP15" s="56"/>
      <c r="FQ15" s="56"/>
      <c r="FR15" s="56"/>
      <c r="FS15" s="56"/>
      <c r="FT15" s="56"/>
      <c r="FU15" s="56"/>
      <c r="FV15" s="56"/>
      <c r="FW15" s="56"/>
      <c r="FX15" s="56"/>
      <c r="FY15" s="56"/>
      <c r="FZ15" s="56"/>
      <c r="GA15" s="56"/>
      <c r="GB15" s="56"/>
      <c r="GC15" s="56"/>
      <c r="GD15" s="56"/>
      <c r="GE15" s="56"/>
      <c r="GF15" s="56"/>
      <c r="GG15" s="56"/>
      <c r="GH15" s="56"/>
      <c r="GI15" s="56"/>
      <c r="GJ15" s="56"/>
      <c r="GK15" s="56"/>
      <c r="GL15" s="56"/>
      <c r="GM15" s="56"/>
      <c r="GN15" s="56"/>
      <c r="GO15" s="56"/>
      <c r="GP15" s="56"/>
      <c r="GQ15" s="56"/>
      <c r="GR15" s="56"/>
      <c r="GS15" s="56"/>
      <c r="GT15" s="56"/>
      <c r="GU15" s="56"/>
      <c r="GV15" s="56"/>
      <c r="GW15" s="56"/>
      <c r="GX15" s="56"/>
      <c r="GY15" s="56"/>
      <c r="GZ15" s="56"/>
      <c r="HA15" s="56"/>
      <c r="HB15" s="56"/>
      <c r="HC15" s="56"/>
      <c r="HD15" s="56"/>
      <c r="HE15" s="56"/>
      <c r="HF15" s="56"/>
      <c r="HG15" s="56"/>
      <c r="HH15" s="56"/>
      <c r="HI15" s="56"/>
      <c r="HJ15" s="56"/>
      <c r="HK15" s="56"/>
      <c r="HL15" s="56"/>
      <c r="HM15" s="56"/>
      <c r="HN15" s="56"/>
      <c r="HO15" s="56"/>
      <c r="HP15" s="56"/>
      <c r="HQ15" s="56"/>
      <c r="HR15" s="56"/>
      <c r="HS15" s="56"/>
      <c r="HT15" s="56"/>
      <c r="HU15" s="56"/>
      <c r="HV15" s="56"/>
      <c r="HW15" s="56"/>
      <c r="HX15" s="56"/>
      <c r="HY15" s="56"/>
      <c r="HZ15" s="56"/>
      <c r="IA15" s="56"/>
      <c r="IB15" s="56"/>
      <c r="IC15" s="56"/>
      <c r="ID15" s="56"/>
      <c r="IE15" s="56"/>
      <c r="IF15" s="56"/>
      <c r="IG15" s="56"/>
      <c r="IH15" s="56"/>
      <c r="II15" s="56"/>
      <c r="IJ15" s="56"/>
      <c r="IK15" s="56"/>
      <c r="IL15" s="56"/>
      <c r="IM15" s="56"/>
      <c r="IN15" s="56"/>
      <c r="IO15" s="56"/>
      <c r="IP15" s="56"/>
      <c r="IQ15" s="56"/>
      <c r="IR15" s="56"/>
      <c r="IS15" s="56"/>
      <c r="IT15" s="56"/>
      <c r="IU15" s="56"/>
      <c r="IV15" s="56"/>
    </row>
    <row r="16" spans="1:256" ht="9.75" customHeight="1" x14ac:dyDescent="0.25">
      <c r="A16" s="59"/>
      <c r="B16" s="59"/>
      <c r="C16" s="59"/>
      <c r="D16" s="59"/>
      <c r="E16" s="59"/>
      <c r="F16" s="59"/>
      <c r="G16" s="59"/>
      <c r="H16" s="59"/>
      <c r="I16" s="59"/>
      <c r="J16" s="58"/>
      <c r="K16" s="56"/>
      <c r="L16" s="56"/>
      <c r="M16" s="56"/>
      <c r="N16" s="56"/>
      <c r="O16" s="56"/>
      <c r="P16" s="56"/>
      <c r="Q16" s="56"/>
      <c r="R16" s="56"/>
      <c r="S16" s="56"/>
      <c r="T16" s="56"/>
      <c r="U16" s="56"/>
      <c r="V16" s="56"/>
      <c r="W16" s="56"/>
      <c r="X16" s="56"/>
      <c r="Y16" s="56"/>
      <c r="Z16" s="56"/>
      <c r="AA16" s="56"/>
      <c r="AB16" s="56"/>
      <c r="AC16" s="56"/>
      <c r="AD16" s="56"/>
      <c r="AE16" s="56"/>
      <c r="AF16" s="56"/>
      <c r="AG16" s="56"/>
      <c r="AH16" s="56"/>
      <c r="AI16" s="56"/>
      <c r="AJ16" s="56"/>
      <c r="AK16" s="56"/>
      <c r="AL16" s="56"/>
      <c r="AM16" s="56"/>
      <c r="AN16" s="56"/>
      <c r="AO16" s="56"/>
      <c r="AP16" s="56"/>
      <c r="AQ16" s="56"/>
      <c r="AR16" s="56"/>
      <c r="AS16" s="56"/>
      <c r="AT16" s="56"/>
      <c r="AU16" s="56"/>
      <c r="AV16" s="56"/>
      <c r="AW16" s="56"/>
      <c r="AX16" s="56"/>
      <c r="AY16" s="56"/>
      <c r="AZ16" s="56"/>
      <c r="BA16" s="56"/>
      <c r="BB16" s="56"/>
      <c r="BC16" s="56"/>
      <c r="BD16" s="56"/>
      <c r="BE16" s="56"/>
      <c r="BF16" s="56"/>
      <c r="BG16" s="56"/>
      <c r="BH16" s="56"/>
      <c r="BI16" s="56"/>
      <c r="BJ16" s="56"/>
      <c r="BK16" s="56"/>
      <c r="BL16" s="56"/>
      <c r="BM16" s="56"/>
      <c r="BN16" s="56"/>
      <c r="BO16" s="56"/>
      <c r="BP16" s="56"/>
      <c r="BQ16" s="56"/>
      <c r="BR16" s="56"/>
      <c r="BS16" s="56"/>
      <c r="BT16" s="56"/>
      <c r="BU16" s="56"/>
      <c r="BV16" s="56"/>
      <c r="BW16" s="56"/>
      <c r="BX16" s="56"/>
      <c r="BY16" s="56"/>
      <c r="BZ16" s="56"/>
      <c r="CA16" s="56"/>
      <c r="CB16" s="56"/>
      <c r="CC16" s="56"/>
      <c r="CD16" s="56"/>
      <c r="CE16" s="56"/>
      <c r="CF16" s="56"/>
      <c r="CG16" s="56"/>
      <c r="CH16" s="56"/>
      <c r="CI16" s="56"/>
      <c r="CJ16" s="56"/>
      <c r="CK16" s="56"/>
      <c r="CL16" s="56"/>
      <c r="CM16" s="56"/>
      <c r="CN16" s="56"/>
      <c r="CO16" s="56"/>
      <c r="CP16" s="56"/>
      <c r="CQ16" s="56"/>
      <c r="CR16" s="56"/>
      <c r="CS16" s="56"/>
      <c r="CT16" s="56"/>
      <c r="CU16" s="56"/>
      <c r="CV16" s="56"/>
      <c r="CW16" s="56"/>
      <c r="CX16" s="56"/>
      <c r="CY16" s="56"/>
      <c r="CZ16" s="56"/>
      <c r="DA16" s="56"/>
      <c r="DB16" s="56"/>
      <c r="DC16" s="56"/>
      <c r="DD16" s="56"/>
      <c r="DE16" s="56"/>
      <c r="DF16" s="56"/>
      <c r="DG16" s="56"/>
      <c r="DH16" s="56"/>
      <c r="DI16" s="56"/>
      <c r="DJ16" s="56"/>
      <c r="DK16" s="56"/>
      <c r="DL16" s="56"/>
      <c r="DM16" s="56"/>
      <c r="DN16" s="56"/>
      <c r="DO16" s="56"/>
      <c r="DP16" s="56"/>
      <c r="DQ16" s="56"/>
      <c r="DR16" s="56"/>
      <c r="DS16" s="56"/>
      <c r="DT16" s="56"/>
      <c r="DU16" s="56"/>
      <c r="DV16" s="56"/>
      <c r="DW16" s="56"/>
      <c r="DX16" s="56"/>
      <c r="DY16" s="56"/>
      <c r="DZ16" s="56"/>
      <c r="EA16" s="56"/>
      <c r="EB16" s="56"/>
      <c r="EC16" s="56"/>
      <c r="ED16" s="56"/>
      <c r="EE16" s="56"/>
      <c r="EF16" s="56"/>
      <c r="EG16" s="56"/>
      <c r="EH16" s="56"/>
      <c r="EI16" s="56"/>
      <c r="EJ16" s="56"/>
      <c r="EK16" s="56"/>
      <c r="EL16" s="56"/>
      <c r="EM16" s="56"/>
      <c r="EN16" s="56"/>
      <c r="EO16" s="56"/>
      <c r="EP16" s="56"/>
      <c r="EQ16" s="56"/>
      <c r="ER16" s="56"/>
      <c r="ES16" s="56"/>
      <c r="ET16" s="56"/>
      <c r="EU16" s="56"/>
      <c r="EV16" s="56"/>
      <c r="EW16" s="56"/>
      <c r="EX16" s="56"/>
      <c r="EY16" s="56"/>
      <c r="EZ16" s="56"/>
      <c r="FA16" s="56"/>
      <c r="FB16" s="56"/>
      <c r="FC16" s="56"/>
      <c r="FD16" s="56"/>
      <c r="FE16" s="56"/>
      <c r="FF16" s="56"/>
      <c r="FG16" s="56"/>
      <c r="FH16" s="56"/>
      <c r="FI16" s="56"/>
      <c r="FJ16" s="56"/>
      <c r="FK16" s="56"/>
      <c r="FL16" s="56"/>
      <c r="FM16" s="56"/>
      <c r="FN16" s="56"/>
      <c r="FO16" s="56"/>
      <c r="FP16" s="56"/>
      <c r="FQ16" s="56"/>
      <c r="FR16" s="56"/>
      <c r="FS16" s="56"/>
      <c r="FT16" s="56"/>
      <c r="FU16" s="56"/>
      <c r="FV16" s="56"/>
      <c r="FW16" s="56"/>
      <c r="FX16" s="56"/>
      <c r="FY16" s="56"/>
      <c r="FZ16" s="56"/>
      <c r="GA16" s="56"/>
      <c r="GB16" s="56"/>
      <c r="GC16" s="56"/>
      <c r="GD16" s="56"/>
      <c r="GE16" s="56"/>
      <c r="GF16" s="56"/>
      <c r="GG16" s="56"/>
      <c r="GH16" s="56"/>
      <c r="GI16" s="56"/>
      <c r="GJ16" s="56"/>
      <c r="GK16" s="56"/>
      <c r="GL16" s="56"/>
      <c r="GM16" s="56"/>
      <c r="GN16" s="56"/>
      <c r="GO16" s="56"/>
      <c r="GP16" s="56"/>
      <c r="GQ16" s="56"/>
      <c r="GR16" s="56"/>
      <c r="GS16" s="56"/>
      <c r="GT16" s="56"/>
      <c r="GU16" s="56"/>
      <c r="GV16" s="56"/>
      <c r="GW16" s="56"/>
      <c r="GX16" s="56"/>
      <c r="GY16" s="56"/>
      <c r="GZ16" s="56"/>
      <c r="HA16" s="56"/>
      <c r="HB16" s="56"/>
      <c r="HC16" s="56"/>
      <c r="HD16" s="56"/>
      <c r="HE16" s="56"/>
      <c r="HF16" s="56"/>
      <c r="HG16" s="56"/>
      <c r="HH16" s="56"/>
      <c r="HI16" s="56"/>
      <c r="HJ16" s="56"/>
      <c r="HK16" s="56"/>
      <c r="HL16" s="56"/>
      <c r="HM16" s="56"/>
      <c r="HN16" s="56"/>
      <c r="HO16" s="56"/>
      <c r="HP16" s="56"/>
      <c r="HQ16" s="56"/>
      <c r="HR16" s="56"/>
      <c r="HS16" s="56"/>
      <c r="HT16" s="56"/>
      <c r="HU16" s="56"/>
      <c r="HV16" s="56"/>
      <c r="HW16" s="56"/>
      <c r="HX16" s="56"/>
      <c r="HY16" s="56"/>
      <c r="HZ16" s="56"/>
      <c r="IA16" s="56"/>
      <c r="IB16" s="56"/>
      <c r="IC16" s="56"/>
      <c r="ID16" s="56"/>
      <c r="IE16" s="56"/>
      <c r="IF16" s="56"/>
      <c r="IG16" s="56"/>
      <c r="IH16" s="56"/>
      <c r="II16" s="56"/>
      <c r="IJ16" s="56"/>
      <c r="IK16" s="56"/>
      <c r="IL16" s="56"/>
      <c r="IM16" s="56"/>
      <c r="IN16" s="56"/>
      <c r="IO16" s="56"/>
      <c r="IP16" s="56"/>
      <c r="IQ16" s="56"/>
      <c r="IR16" s="56"/>
      <c r="IS16" s="56"/>
      <c r="IT16" s="56"/>
      <c r="IU16" s="56"/>
      <c r="IV16" s="56"/>
    </row>
    <row r="17" spans="1:9" ht="97.5" customHeight="1" x14ac:dyDescent="0.2">
      <c r="A17" s="60" t="s">
        <v>188</v>
      </c>
      <c r="B17" s="204" t="s">
        <v>189</v>
      </c>
      <c r="C17" s="205"/>
      <c r="D17" s="204" t="s">
        <v>88</v>
      </c>
      <c r="E17" s="206"/>
      <c r="F17" s="206"/>
      <c r="G17" s="205"/>
      <c r="H17" s="61" t="s">
        <v>87</v>
      </c>
      <c r="I17" s="114" t="s">
        <v>190</v>
      </c>
    </row>
    <row r="18" spans="1:9" ht="12.75" customHeight="1" x14ac:dyDescent="0.2">
      <c r="A18" s="88" t="s">
        <v>191</v>
      </c>
      <c r="B18" s="207">
        <v>2</v>
      </c>
      <c r="C18" s="208"/>
      <c r="D18" s="207">
        <v>3</v>
      </c>
      <c r="E18" s="209"/>
      <c r="F18" s="209"/>
      <c r="G18" s="208"/>
      <c r="H18" s="113">
        <v>4</v>
      </c>
      <c r="I18" s="115">
        <v>5</v>
      </c>
    </row>
    <row r="19" spans="1:9" ht="94.5" customHeight="1" x14ac:dyDescent="0.2">
      <c r="A19" s="89" t="s">
        <v>191</v>
      </c>
      <c r="B19" s="233" t="s">
        <v>356</v>
      </c>
      <c r="C19" s="233"/>
      <c r="D19" s="234" t="s">
        <v>357</v>
      </c>
      <c r="E19" s="234"/>
      <c r="F19" s="234"/>
      <c r="G19" s="234"/>
      <c r="H19" s="111" t="s">
        <v>358</v>
      </c>
      <c r="I19" s="112">
        <f>4883.16*2.4*1.2*0.805*4.09</f>
        <v>46303.373208959994</v>
      </c>
    </row>
    <row r="20" spans="1:9" ht="115.5" customHeight="1" x14ac:dyDescent="0.2">
      <c r="A20" s="75" t="s">
        <v>200</v>
      </c>
      <c r="B20" s="235" t="s">
        <v>220</v>
      </c>
      <c r="C20" s="236"/>
      <c r="D20" s="245" t="s">
        <v>221</v>
      </c>
      <c r="E20" s="246"/>
      <c r="F20" s="246"/>
      <c r="G20" s="247"/>
      <c r="H20" s="64" t="s">
        <v>355</v>
      </c>
      <c r="I20" s="65">
        <f>(11960*1*0.6*4.09*1.4*(1+0.1)*0.825)</f>
        <v>37288.971720000001</v>
      </c>
    </row>
    <row r="21" spans="1:9" ht="14.25" customHeight="1" x14ac:dyDescent="0.2">
      <c r="A21" s="75"/>
      <c r="B21" s="215" t="s">
        <v>63</v>
      </c>
      <c r="C21" s="216"/>
      <c r="D21" s="248"/>
      <c r="E21" s="249"/>
      <c r="F21" s="249"/>
      <c r="G21" s="250"/>
      <c r="H21" s="76"/>
      <c r="I21" s="87"/>
    </row>
    <row r="22" spans="1:9" ht="26.25" customHeight="1" x14ac:dyDescent="0.2">
      <c r="A22" s="75"/>
      <c r="B22" s="230" t="s">
        <v>194</v>
      </c>
      <c r="C22" s="231"/>
      <c r="D22" s="230" t="s">
        <v>195</v>
      </c>
      <c r="E22" s="232"/>
      <c r="F22" s="232"/>
      <c r="G22" s="231"/>
      <c r="H22" s="76"/>
      <c r="I22" s="87"/>
    </row>
    <row r="23" spans="1:9" ht="38.25" customHeight="1" x14ac:dyDescent="0.2">
      <c r="A23" s="75"/>
      <c r="B23" s="240"/>
      <c r="C23" s="241"/>
      <c r="D23" s="230" t="s">
        <v>354</v>
      </c>
      <c r="E23" s="232"/>
      <c r="F23" s="232"/>
      <c r="G23" s="231"/>
      <c r="H23" s="76"/>
      <c r="I23" s="87"/>
    </row>
    <row r="24" spans="1:9" ht="27.75" customHeight="1" x14ac:dyDescent="0.2">
      <c r="A24" s="75"/>
      <c r="B24" s="240"/>
      <c r="C24" s="241"/>
      <c r="D24" s="230" t="s">
        <v>197</v>
      </c>
      <c r="E24" s="232"/>
      <c r="F24" s="232"/>
      <c r="G24" s="231"/>
      <c r="H24" s="76"/>
      <c r="I24" s="87"/>
    </row>
    <row r="25" spans="1:9" ht="25.5" customHeight="1" x14ac:dyDescent="0.2">
      <c r="A25" s="75"/>
      <c r="B25" s="240"/>
      <c r="C25" s="241"/>
      <c r="D25" s="218" t="s">
        <v>198</v>
      </c>
      <c r="E25" s="220"/>
      <c r="F25" s="220"/>
      <c r="G25" s="219"/>
      <c r="H25" s="76"/>
      <c r="I25" s="87"/>
    </row>
    <row r="26" spans="1:9" ht="54.75" customHeight="1" x14ac:dyDescent="0.2">
      <c r="A26" s="75"/>
      <c r="B26" s="221" t="s">
        <v>69</v>
      </c>
      <c r="C26" s="222"/>
      <c r="D26" s="221"/>
      <c r="E26" s="223"/>
      <c r="F26" s="223"/>
      <c r="G26" s="222"/>
      <c r="H26" s="73" t="s">
        <v>290</v>
      </c>
      <c r="I26" s="87"/>
    </row>
    <row r="27" spans="1:9" ht="106.5" customHeight="1" x14ac:dyDescent="0.2">
      <c r="A27" s="75" t="s">
        <v>201</v>
      </c>
      <c r="B27" s="235" t="s">
        <v>71</v>
      </c>
      <c r="C27" s="236"/>
      <c r="D27" s="237" t="s">
        <v>72</v>
      </c>
      <c r="E27" s="238"/>
      <c r="F27" s="238"/>
      <c r="G27" s="239"/>
      <c r="H27" s="76" t="s">
        <v>359</v>
      </c>
      <c r="I27" s="82">
        <f>(0+800*1)*1*0.5*4.09</f>
        <v>1636</v>
      </c>
    </row>
    <row r="28" spans="1:9" ht="15.75" customHeight="1" x14ac:dyDescent="0.2">
      <c r="A28" s="66" t="s">
        <v>193</v>
      </c>
      <c r="B28" s="215" t="s">
        <v>63</v>
      </c>
      <c r="C28" s="216"/>
      <c r="D28" s="215"/>
      <c r="E28" s="217"/>
      <c r="F28" s="217"/>
      <c r="G28" s="216"/>
      <c r="H28" s="67"/>
      <c r="I28" s="91"/>
    </row>
    <row r="29" spans="1:9" ht="12.75" customHeight="1" x14ac:dyDescent="0.2">
      <c r="A29" s="69" t="s">
        <v>193</v>
      </c>
      <c r="B29" s="230" t="s">
        <v>64</v>
      </c>
      <c r="C29" s="231"/>
      <c r="D29" s="230" t="s">
        <v>74</v>
      </c>
      <c r="E29" s="232"/>
      <c r="F29" s="232"/>
      <c r="G29" s="231"/>
      <c r="H29" s="70"/>
      <c r="I29" s="71"/>
    </row>
    <row r="30" spans="1:9" ht="38.25" customHeight="1" x14ac:dyDescent="0.2">
      <c r="A30" s="69" t="s">
        <v>193</v>
      </c>
      <c r="B30" s="230"/>
      <c r="C30" s="231"/>
      <c r="D30" s="230" t="s">
        <v>354</v>
      </c>
      <c r="E30" s="232"/>
      <c r="F30" s="232"/>
      <c r="G30" s="231"/>
      <c r="H30" s="70"/>
      <c r="I30" s="71"/>
    </row>
    <row r="31" spans="1:9" ht="22.5" customHeight="1" x14ac:dyDescent="0.2">
      <c r="A31" s="72" t="s">
        <v>193</v>
      </c>
      <c r="B31" s="242" t="s">
        <v>69</v>
      </c>
      <c r="C31" s="243"/>
      <c r="D31" s="242"/>
      <c r="E31" s="244"/>
      <c r="F31" s="244"/>
      <c r="G31" s="243"/>
      <c r="H31" s="73" t="s">
        <v>75</v>
      </c>
      <c r="I31" s="74"/>
    </row>
    <row r="32" spans="1:9" ht="12.75" customHeight="1" x14ac:dyDescent="0.2">
      <c r="A32" s="72" t="s">
        <v>202</v>
      </c>
      <c r="B32" s="224" t="s">
        <v>76</v>
      </c>
      <c r="C32" s="225"/>
      <c r="D32" s="224"/>
      <c r="E32" s="226"/>
      <c r="F32" s="226"/>
      <c r="G32" s="225"/>
      <c r="H32" s="78"/>
      <c r="I32" s="79">
        <f>I19+I27+I20</f>
        <v>85228.344928959996</v>
      </c>
    </row>
    <row r="33" spans="1:256" ht="12.75" customHeight="1" x14ac:dyDescent="0.2">
      <c r="A33" s="80" t="s">
        <v>203</v>
      </c>
      <c r="B33" s="227" t="s">
        <v>77</v>
      </c>
      <c r="C33" s="228"/>
      <c r="D33" s="227"/>
      <c r="E33" s="229"/>
      <c r="F33" s="229"/>
      <c r="G33" s="228"/>
      <c r="H33" s="81" t="s">
        <v>217</v>
      </c>
      <c r="I33" s="82">
        <f>I32*0.1</f>
        <v>8522.8344928959996</v>
      </c>
    </row>
    <row r="34" spans="1:256" ht="39.75" customHeight="1" x14ac:dyDescent="0.2">
      <c r="A34" s="80" t="s">
        <v>204</v>
      </c>
      <c r="B34" s="227" t="s">
        <v>23</v>
      </c>
      <c r="C34" s="228"/>
      <c r="D34" s="227"/>
      <c r="E34" s="229"/>
      <c r="F34" s="229"/>
      <c r="G34" s="228"/>
      <c r="H34" s="81" t="s">
        <v>79</v>
      </c>
      <c r="I34" s="82">
        <v>24992.23</v>
      </c>
    </row>
    <row r="35" spans="1:256" ht="25.5" customHeight="1" x14ac:dyDescent="0.2">
      <c r="A35" s="80" t="s">
        <v>205</v>
      </c>
      <c r="B35" s="227" t="s">
        <v>80</v>
      </c>
      <c r="C35" s="228"/>
      <c r="D35" s="227"/>
      <c r="E35" s="229"/>
      <c r="F35" s="229"/>
      <c r="G35" s="228"/>
      <c r="H35" s="81" t="s">
        <v>79</v>
      </c>
      <c r="I35" s="82">
        <v>16473.330000000002</v>
      </c>
    </row>
    <row r="36" spans="1:256" ht="12.75" customHeight="1" x14ac:dyDescent="0.2">
      <c r="A36" s="80" t="s">
        <v>206</v>
      </c>
      <c r="B36" s="227" t="s">
        <v>81</v>
      </c>
      <c r="C36" s="228"/>
      <c r="D36" s="227"/>
      <c r="E36" s="229"/>
      <c r="F36" s="229"/>
      <c r="G36" s="228"/>
      <c r="H36" s="81" t="s">
        <v>227</v>
      </c>
      <c r="I36" s="82">
        <f>I32+I33+I34+I35</f>
        <v>135216.73942185601</v>
      </c>
    </row>
    <row r="37" spans="1:256" ht="12.75" customHeight="1" x14ac:dyDescent="0.2">
      <c r="A37" s="80" t="s">
        <v>208</v>
      </c>
      <c r="B37" s="227" t="s">
        <v>207</v>
      </c>
      <c r="C37" s="228"/>
      <c r="D37" s="227"/>
      <c r="E37" s="229"/>
      <c r="F37" s="229"/>
      <c r="G37" s="228"/>
      <c r="H37" s="81" t="s">
        <v>274</v>
      </c>
      <c r="I37" s="82">
        <f>ROUND(I36*20%,2)</f>
        <v>27043.35</v>
      </c>
    </row>
    <row r="38" spans="1:256" ht="12.75" customHeight="1" x14ac:dyDescent="0.2">
      <c r="A38" s="80" t="s">
        <v>226</v>
      </c>
      <c r="B38" s="224" t="s">
        <v>85</v>
      </c>
      <c r="C38" s="225"/>
      <c r="D38" s="224"/>
      <c r="E38" s="226"/>
      <c r="F38" s="226"/>
      <c r="G38" s="225"/>
      <c r="H38" s="83" t="s">
        <v>228</v>
      </c>
      <c r="I38" s="84">
        <f>I36+I37</f>
        <v>162260.08942185601</v>
      </c>
    </row>
    <row r="40" spans="1:256" ht="12.75" customHeight="1" x14ac:dyDescent="0.25">
      <c r="A40" s="52" t="s">
        <v>209</v>
      </c>
      <c r="B40" s="52"/>
      <c r="C40" s="52"/>
      <c r="D40" s="52"/>
      <c r="E40" s="52"/>
      <c r="F40" s="52"/>
      <c r="G40" s="52"/>
      <c r="H40" s="52"/>
      <c r="I40" s="52"/>
      <c r="J40" s="52"/>
      <c r="K40" s="52"/>
      <c r="L40" s="52"/>
      <c r="M40" s="52"/>
      <c r="N40" s="52"/>
      <c r="O40" s="52"/>
      <c r="P40" s="52"/>
      <c r="Q40" s="52"/>
      <c r="R40" s="52"/>
      <c r="S40" s="52"/>
      <c r="T40" s="52"/>
      <c r="U40" s="52"/>
      <c r="V40" s="52"/>
      <c r="W40" s="52"/>
      <c r="X40" s="52"/>
      <c r="Y40" s="52"/>
      <c r="Z40" s="52"/>
      <c r="AA40" s="52"/>
      <c r="AB40" s="52"/>
      <c r="AC40" s="52"/>
      <c r="AD40" s="52"/>
      <c r="AE40" s="52"/>
      <c r="AF40" s="52"/>
      <c r="AG40" s="52"/>
      <c r="AH40" s="52"/>
      <c r="AI40" s="52"/>
      <c r="AJ40" s="52"/>
      <c r="AK40" s="52"/>
      <c r="AL40" s="52"/>
      <c r="AM40" s="52"/>
      <c r="AN40" s="52"/>
      <c r="AO40" s="52"/>
      <c r="AP40" s="52"/>
      <c r="AQ40" s="52"/>
      <c r="AR40" s="52"/>
      <c r="AS40" s="52"/>
      <c r="AT40" s="52"/>
      <c r="AU40" s="52"/>
      <c r="AV40" s="52"/>
      <c r="AW40" s="52"/>
      <c r="AX40" s="52"/>
      <c r="AY40" s="52"/>
      <c r="AZ40" s="52"/>
      <c r="BA40" s="52"/>
      <c r="BB40" s="52"/>
      <c r="BC40" s="52"/>
      <c r="BD40" s="52"/>
      <c r="BE40" s="52"/>
      <c r="BF40" s="52"/>
      <c r="BG40" s="52"/>
      <c r="BH40" s="52"/>
      <c r="BI40" s="52"/>
      <c r="BJ40" s="52"/>
      <c r="BK40" s="52"/>
      <c r="BL40" s="52"/>
      <c r="BM40" s="52"/>
      <c r="BN40" s="52"/>
      <c r="BO40" s="52"/>
      <c r="BP40" s="52"/>
      <c r="BQ40" s="52"/>
      <c r="BR40" s="52"/>
      <c r="BS40" s="52"/>
      <c r="BT40" s="52"/>
      <c r="BU40" s="52"/>
      <c r="BV40" s="52"/>
      <c r="BW40" s="52"/>
      <c r="BX40" s="52"/>
      <c r="BY40" s="52"/>
      <c r="BZ40" s="52"/>
      <c r="CA40" s="52"/>
      <c r="CB40" s="52"/>
      <c r="CC40" s="52"/>
      <c r="CD40" s="52"/>
      <c r="CE40" s="52"/>
      <c r="CF40" s="52"/>
      <c r="CG40" s="52"/>
      <c r="CH40" s="52"/>
      <c r="CI40" s="52"/>
      <c r="CJ40" s="52"/>
      <c r="CK40" s="52"/>
      <c r="CL40" s="52"/>
      <c r="CM40" s="52"/>
      <c r="CN40" s="52"/>
      <c r="CO40" s="52"/>
      <c r="CP40" s="52"/>
      <c r="CQ40" s="52"/>
      <c r="CR40" s="52"/>
      <c r="CS40" s="52"/>
      <c r="CT40" s="52"/>
      <c r="CU40" s="52"/>
      <c r="CV40" s="52"/>
      <c r="CW40" s="52"/>
      <c r="CX40" s="52"/>
      <c r="CY40" s="52"/>
      <c r="CZ40" s="52"/>
      <c r="DA40" s="52"/>
      <c r="DB40" s="52"/>
      <c r="DC40" s="52"/>
      <c r="DD40" s="52"/>
      <c r="DE40" s="52"/>
      <c r="DF40" s="52"/>
      <c r="DG40" s="52"/>
      <c r="DH40" s="52"/>
      <c r="DI40" s="52"/>
      <c r="DJ40" s="52"/>
      <c r="DK40" s="52"/>
      <c r="DL40" s="52"/>
      <c r="DM40" s="52"/>
      <c r="DN40" s="52"/>
      <c r="DO40" s="52"/>
      <c r="DP40" s="52"/>
      <c r="DQ40" s="52"/>
      <c r="DR40" s="52"/>
      <c r="DS40" s="52"/>
      <c r="DT40" s="52"/>
      <c r="DU40" s="52"/>
      <c r="DV40" s="52"/>
      <c r="DW40" s="52"/>
      <c r="DX40" s="52"/>
      <c r="DY40" s="52"/>
      <c r="DZ40" s="52"/>
      <c r="EA40" s="52"/>
      <c r="EB40" s="52"/>
      <c r="EC40" s="52"/>
      <c r="ED40" s="52"/>
      <c r="EE40" s="52"/>
      <c r="EF40" s="52"/>
      <c r="EG40" s="52"/>
      <c r="EH40" s="52"/>
      <c r="EI40" s="52"/>
      <c r="EJ40" s="52"/>
      <c r="EK40" s="52"/>
      <c r="EL40" s="52"/>
      <c r="EM40" s="52"/>
      <c r="EN40" s="52"/>
      <c r="EO40" s="52"/>
      <c r="EP40" s="52"/>
      <c r="EQ40" s="52"/>
      <c r="ER40" s="52"/>
      <c r="ES40" s="52"/>
      <c r="ET40" s="52"/>
      <c r="EU40" s="52"/>
      <c r="EV40" s="52"/>
      <c r="EW40" s="52"/>
      <c r="EX40" s="52"/>
      <c r="EY40" s="52"/>
      <c r="EZ40" s="52"/>
      <c r="FA40" s="52"/>
      <c r="FB40" s="52"/>
      <c r="FC40" s="52"/>
      <c r="FD40" s="52"/>
      <c r="FE40" s="52"/>
      <c r="FF40" s="52"/>
      <c r="FG40" s="52"/>
      <c r="FH40" s="52"/>
      <c r="FI40" s="52"/>
      <c r="FJ40" s="52"/>
      <c r="FK40" s="52"/>
      <c r="FL40" s="52"/>
      <c r="FM40" s="52"/>
      <c r="FN40" s="52"/>
      <c r="FO40" s="52"/>
      <c r="FP40" s="52"/>
      <c r="FQ40" s="52"/>
      <c r="FR40" s="52"/>
      <c r="FS40" s="52"/>
      <c r="FT40" s="52"/>
      <c r="FU40" s="52"/>
      <c r="FV40" s="52"/>
      <c r="FW40" s="52"/>
      <c r="FX40" s="52"/>
      <c r="FY40" s="52"/>
      <c r="FZ40" s="52"/>
      <c r="GA40" s="52"/>
      <c r="GB40" s="52"/>
      <c r="GC40" s="52"/>
      <c r="GD40" s="52"/>
      <c r="GE40" s="52"/>
      <c r="GF40" s="52"/>
      <c r="GG40" s="52"/>
      <c r="GH40" s="52"/>
      <c r="GI40" s="52"/>
      <c r="GJ40" s="52"/>
      <c r="GK40" s="52"/>
      <c r="GL40" s="52"/>
      <c r="GM40" s="52"/>
      <c r="GN40" s="52"/>
      <c r="GO40" s="52"/>
      <c r="GP40" s="52"/>
      <c r="GQ40" s="52"/>
      <c r="GR40" s="52"/>
      <c r="GS40" s="52"/>
      <c r="GT40" s="52"/>
      <c r="GU40" s="52"/>
      <c r="GV40" s="52"/>
      <c r="GW40" s="52"/>
      <c r="GX40" s="52"/>
      <c r="GY40" s="52"/>
      <c r="GZ40" s="52"/>
      <c r="HA40" s="52"/>
      <c r="HB40" s="52"/>
      <c r="HC40" s="52"/>
      <c r="HD40" s="52"/>
      <c r="HE40" s="52"/>
      <c r="HF40" s="52"/>
      <c r="HG40" s="52"/>
      <c r="HH40" s="52"/>
      <c r="HI40" s="52"/>
      <c r="HJ40" s="52"/>
      <c r="HK40" s="52"/>
      <c r="HL40" s="52"/>
      <c r="HM40" s="52"/>
      <c r="HN40" s="52"/>
      <c r="HO40" s="52"/>
      <c r="HP40" s="52"/>
      <c r="HQ40" s="52"/>
      <c r="HR40" s="52"/>
      <c r="HS40" s="52"/>
      <c r="HT40" s="52"/>
      <c r="HU40" s="52"/>
      <c r="HV40" s="52"/>
      <c r="HW40" s="52"/>
      <c r="HX40" s="52"/>
      <c r="HY40" s="52"/>
      <c r="HZ40" s="52"/>
      <c r="IA40" s="52"/>
      <c r="IB40" s="52"/>
      <c r="IC40" s="52"/>
      <c r="ID40" s="52"/>
      <c r="IE40" s="52"/>
      <c r="IF40" s="52"/>
      <c r="IG40" s="52"/>
      <c r="IH40" s="52"/>
      <c r="II40" s="52"/>
      <c r="IJ40" s="52"/>
      <c r="IK40" s="52"/>
      <c r="IL40" s="52"/>
      <c r="IM40" s="52"/>
      <c r="IN40" s="52"/>
      <c r="IO40" s="52"/>
      <c r="IP40" s="52"/>
      <c r="IQ40" s="52"/>
      <c r="IR40" s="52"/>
      <c r="IS40" s="52"/>
      <c r="IT40" s="52"/>
      <c r="IU40" s="52"/>
      <c r="IV40" s="52"/>
    </row>
    <row r="41" spans="1:256" ht="13.5" customHeight="1" x14ac:dyDescent="0.25">
      <c r="A41" s="1" t="s">
        <v>27</v>
      </c>
      <c r="B41" s="1"/>
      <c r="C41" s="1"/>
      <c r="D41" s="52"/>
      <c r="E41" s="52"/>
      <c r="F41" s="52"/>
      <c r="G41" s="52"/>
      <c r="H41" s="52"/>
      <c r="I41" s="52"/>
      <c r="J41" s="52"/>
      <c r="K41" s="52"/>
      <c r="L41" s="52"/>
      <c r="M41" s="52"/>
      <c r="N41" s="52"/>
      <c r="O41" s="52"/>
      <c r="P41" s="52"/>
      <c r="Q41" s="52"/>
      <c r="R41" s="52"/>
      <c r="S41" s="52"/>
      <c r="T41" s="52"/>
      <c r="U41" s="52"/>
      <c r="V41" s="52"/>
      <c r="W41" s="52"/>
      <c r="X41" s="52"/>
      <c r="Y41" s="52"/>
      <c r="Z41" s="52"/>
      <c r="AA41" s="52"/>
      <c r="AB41" s="52"/>
      <c r="AC41" s="52"/>
      <c r="AD41" s="52"/>
      <c r="AE41" s="52"/>
      <c r="AF41" s="52"/>
      <c r="AG41" s="52"/>
      <c r="AH41" s="52"/>
      <c r="AI41" s="52"/>
      <c r="AJ41" s="52"/>
      <c r="AK41" s="52"/>
      <c r="AL41" s="52"/>
      <c r="AM41" s="52"/>
      <c r="AN41" s="52"/>
      <c r="AO41" s="52"/>
      <c r="AP41" s="52"/>
      <c r="AQ41" s="52"/>
      <c r="AR41" s="52"/>
      <c r="AS41" s="52"/>
      <c r="AT41" s="52"/>
      <c r="AU41" s="52"/>
      <c r="AV41" s="52"/>
      <c r="AW41" s="52"/>
      <c r="AX41" s="52"/>
      <c r="AY41" s="52"/>
      <c r="AZ41" s="52"/>
      <c r="BA41" s="52"/>
      <c r="BB41" s="52"/>
      <c r="BC41" s="52"/>
      <c r="BD41" s="52"/>
      <c r="BE41" s="52"/>
      <c r="BF41" s="52"/>
      <c r="BG41" s="52"/>
      <c r="BH41" s="52"/>
      <c r="BI41" s="52"/>
      <c r="BJ41" s="52"/>
      <c r="BK41" s="52"/>
      <c r="BL41" s="52"/>
      <c r="BM41" s="52"/>
      <c r="BN41" s="52"/>
      <c r="BO41" s="52"/>
      <c r="BP41" s="52"/>
      <c r="BQ41" s="52"/>
      <c r="BR41" s="52"/>
      <c r="BS41" s="52"/>
      <c r="BT41" s="52"/>
      <c r="BU41" s="52"/>
      <c r="BV41" s="52"/>
      <c r="BW41" s="52"/>
      <c r="BX41" s="52"/>
      <c r="BY41" s="52"/>
      <c r="BZ41" s="52"/>
      <c r="CA41" s="52"/>
      <c r="CB41" s="52"/>
      <c r="CC41" s="52"/>
      <c r="CD41" s="52"/>
      <c r="CE41" s="52"/>
      <c r="CF41" s="52"/>
      <c r="CG41" s="52"/>
      <c r="CH41" s="52"/>
      <c r="CI41" s="52"/>
      <c r="CJ41" s="52"/>
      <c r="CK41" s="52"/>
      <c r="CL41" s="52"/>
      <c r="CM41" s="52"/>
      <c r="CN41" s="52"/>
      <c r="CO41" s="52"/>
      <c r="CP41" s="52"/>
      <c r="CQ41" s="52"/>
      <c r="CR41" s="52"/>
      <c r="CS41" s="52"/>
      <c r="CT41" s="52"/>
      <c r="CU41" s="52"/>
      <c r="CV41" s="52"/>
      <c r="CW41" s="52"/>
      <c r="CX41" s="52"/>
      <c r="CY41" s="52"/>
      <c r="CZ41" s="52"/>
      <c r="DA41" s="52"/>
      <c r="DB41" s="52"/>
      <c r="DC41" s="52"/>
      <c r="DD41" s="52"/>
      <c r="DE41" s="52"/>
      <c r="DF41" s="52"/>
      <c r="DG41" s="52"/>
      <c r="DH41" s="52"/>
      <c r="DI41" s="52"/>
      <c r="DJ41" s="52"/>
      <c r="DK41" s="52"/>
      <c r="DL41" s="52"/>
      <c r="DM41" s="52"/>
      <c r="DN41" s="52"/>
      <c r="DO41" s="52"/>
      <c r="DP41" s="52"/>
      <c r="DQ41" s="52"/>
      <c r="DR41" s="52"/>
      <c r="DS41" s="52"/>
      <c r="DT41" s="52"/>
      <c r="DU41" s="52"/>
      <c r="DV41" s="52"/>
      <c r="DW41" s="52"/>
      <c r="DX41" s="52"/>
      <c r="DY41" s="52"/>
      <c r="DZ41" s="52"/>
      <c r="EA41" s="52"/>
      <c r="EB41" s="52"/>
      <c r="EC41" s="52"/>
      <c r="ED41" s="52"/>
      <c r="EE41" s="52"/>
      <c r="EF41" s="52"/>
      <c r="EG41" s="52"/>
      <c r="EH41" s="52"/>
      <c r="EI41" s="52"/>
      <c r="EJ41" s="52"/>
      <c r="EK41" s="52"/>
      <c r="EL41" s="52"/>
      <c r="EM41" s="52"/>
      <c r="EN41" s="52"/>
      <c r="EO41" s="52"/>
      <c r="EP41" s="52"/>
      <c r="EQ41" s="52"/>
      <c r="ER41" s="52"/>
      <c r="ES41" s="52"/>
      <c r="ET41" s="52"/>
      <c r="EU41" s="52"/>
      <c r="EV41" s="52"/>
      <c r="EW41" s="52"/>
      <c r="EX41" s="52"/>
      <c r="EY41" s="52"/>
      <c r="EZ41" s="52"/>
      <c r="FA41" s="52"/>
      <c r="FB41" s="52"/>
      <c r="FC41" s="52"/>
      <c r="FD41" s="52"/>
      <c r="FE41" s="52"/>
      <c r="FF41" s="52"/>
      <c r="FG41" s="52"/>
      <c r="FH41" s="52"/>
      <c r="FI41" s="52"/>
      <c r="FJ41" s="52"/>
      <c r="FK41" s="52"/>
      <c r="FL41" s="52"/>
      <c r="FM41" s="52"/>
      <c r="FN41" s="52"/>
      <c r="FO41" s="52"/>
      <c r="FP41" s="52"/>
      <c r="FQ41" s="52"/>
      <c r="FR41" s="52"/>
      <c r="FS41" s="52"/>
      <c r="FT41" s="52"/>
      <c r="FU41" s="52"/>
      <c r="FV41" s="52"/>
      <c r="FW41" s="52"/>
      <c r="FX41" s="52"/>
      <c r="FY41" s="52"/>
      <c r="FZ41" s="52"/>
      <c r="GA41" s="52"/>
      <c r="GB41" s="52"/>
      <c r="GC41" s="52"/>
      <c r="GD41" s="52"/>
      <c r="GE41" s="52"/>
      <c r="GF41" s="52"/>
      <c r="GG41" s="52"/>
      <c r="GH41" s="52"/>
      <c r="GI41" s="52"/>
      <c r="GJ41" s="52"/>
      <c r="GK41" s="52"/>
      <c r="GL41" s="52"/>
      <c r="GM41" s="52"/>
      <c r="GN41" s="52"/>
      <c r="GO41" s="52"/>
      <c r="GP41" s="52"/>
      <c r="GQ41" s="52"/>
      <c r="GR41" s="52"/>
      <c r="GS41" s="52"/>
      <c r="GT41" s="52"/>
      <c r="GU41" s="52"/>
      <c r="GV41" s="52"/>
      <c r="GW41" s="52"/>
      <c r="GX41" s="52"/>
      <c r="GY41" s="52"/>
      <c r="GZ41" s="52"/>
      <c r="HA41" s="52"/>
      <c r="HB41" s="52"/>
      <c r="HC41" s="52"/>
      <c r="HD41" s="52"/>
      <c r="HE41" s="52"/>
      <c r="HF41" s="52"/>
      <c r="HG41" s="52"/>
      <c r="HH41" s="52"/>
      <c r="HI41" s="52"/>
      <c r="HJ41" s="52"/>
      <c r="HK41" s="52"/>
      <c r="HL41" s="52"/>
      <c r="HM41" s="52"/>
      <c r="HN41" s="52"/>
      <c r="HO41" s="52"/>
      <c r="HP41" s="52"/>
      <c r="HQ41" s="52"/>
      <c r="HR41" s="52"/>
      <c r="HS41" s="52"/>
      <c r="HT41" s="52"/>
      <c r="HU41" s="52"/>
      <c r="HV41" s="52"/>
      <c r="HW41" s="52"/>
      <c r="HX41" s="52"/>
      <c r="HY41" s="52"/>
      <c r="HZ41" s="52"/>
      <c r="IA41" s="52"/>
      <c r="IB41" s="52"/>
      <c r="IC41" s="52"/>
      <c r="ID41" s="52"/>
      <c r="IE41" s="52"/>
      <c r="IF41" s="52"/>
      <c r="IG41" s="52"/>
      <c r="IH41" s="52"/>
      <c r="II41" s="52"/>
      <c r="IJ41" s="52"/>
      <c r="IK41" s="52"/>
      <c r="IL41" s="52"/>
      <c r="IM41" s="52"/>
      <c r="IN41" s="52"/>
      <c r="IO41" s="52"/>
      <c r="IP41" s="52"/>
      <c r="IQ41" s="52"/>
      <c r="IR41" s="52"/>
      <c r="IS41" s="52"/>
      <c r="IT41" s="52"/>
      <c r="IU41" s="52"/>
      <c r="IV41" s="52"/>
    </row>
    <row r="42" spans="1:256" ht="18" customHeight="1" x14ac:dyDescent="0.25">
      <c r="A42" s="1" t="s">
        <v>130</v>
      </c>
      <c r="B42" s="1"/>
      <c r="C42" s="1"/>
      <c r="D42" s="52"/>
      <c r="E42" s="52"/>
      <c r="F42" s="52"/>
      <c r="G42" s="52"/>
      <c r="H42" s="52"/>
      <c r="I42" s="52"/>
      <c r="J42" s="52"/>
      <c r="K42" s="52"/>
      <c r="L42" s="52"/>
      <c r="M42" s="52"/>
      <c r="N42" s="52"/>
      <c r="O42" s="52"/>
      <c r="P42" s="52"/>
      <c r="Q42" s="52"/>
      <c r="R42" s="52"/>
      <c r="S42" s="52"/>
      <c r="T42" s="52"/>
      <c r="U42" s="52"/>
      <c r="V42" s="52"/>
      <c r="W42" s="52"/>
      <c r="X42" s="52"/>
      <c r="Y42" s="52"/>
      <c r="Z42" s="52"/>
      <c r="AA42" s="52"/>
      <c r="AB42" s="52"/>
      <c r="AC42" s="52"/>
      <c r="AD42" s="52"/>
      <c r="AE42" s="52"/>
      <c r="AF42" s="52"/>
      <c r="AG42" s="52"/>
      <c r="AH42" s="52"/>
      <c r="AI42" s="52"/>
      <c r="AJ42" s="52"/>
      <c r="AK42" s="52"/>
      <c r="AL42" s="52"/>
      <c r="AM42" s="52"/>
      <c r="AN42" s="52"/>
      <c r="AO42" s="52"/>
      <c r="AP42" s="52"/>
      <c r="AQ42" s="52"/>
      <c r="AR42" s="52"/>
      <c r="AS42" s="52"/>
      <c r="AT42" s="52"/>
      <c r="AU42" s="52"/>
      <c r="AV42" s="52"/>
      <c r="AW42" s="52"/>
      <c r="AX42" s="52"/>
      <c r="AY42" s="52"/>
      <c r="AZ42" s="52"/>
      <c r="BA42" s="52"/>
      <c r="BB42" s="52"/>
      <c r="BC42" s="52"/>
      <c r="BD42" s="52"/>
      <c r="BE42" s="52"/>
      <c r="BF42" s="52"/>
      <c r="BG42" s="52"/>
      <c r="BH42" s="52"/>
      <c r="BI42" s="52"/>
      <c r="BJ42" s="52"/>
      <c r="BK42" s="52"/>
      <c r="BL42" s="52"/>
      <c r="BM42" s="52"/>
      <c r="BN42" s="52"/>
      <c r="BO42" s="52"/>
      <c r="BP42" s="52"/>
      <c r="BQ42" s="52"/>
      <c r="BR42" s="52"/>
      <c r="BS42" s="52"/>
      <c r="BT42" s="52"/>
      <c r="BU42" s="52"/>
      <c r="BV42" s="52"/>
      <c r="BW42" s="52"/>
      <c r="BX42" s="52"/>
      <c r="BY42" s="52"/>
      <c r="BZ42" s="52"/>
      <c r="CA42" s="52"/>
      <c r="CB42" s="52"/>
      <c r="CC42" s="52"/>
      <c r="CD42" s="52"/>
      <c r="CE42" s="52"/>
      <c r="CF42" s="52"/>
      <c r="CG42" s="52"/>
      <c r="CH42" s="52"/>
      <c r="CI42" s="52"/>
      <c r="CJ42" s="52"/>
      <c r="CK42" s="52"/>
      <c r="CL42" s="52"/>
      <c r="CM42" s="52"/>
      <c r="CN42" s="52"/>
      <c r="CO42" s="52"/>
      <c r="CP42" s="52"/>
      <c r="CQ42" s="52"/>
      <c r="CR42" s="52"/>
      <c r="CS42" s="52"/>
      <c r="CT42" s="52"/>
      <c r="CU42" s="52"/>
      <c r="CV42" s="52"/>
      <c r="CW42" s="52"/>
      <c r="CX42" s="52"/>
      <c r="CY42" s="52"/>
      <c r="CZ42" s="52"/>
      <c r="DA42" s="52"/>
      <c r="DB42" s="52"/>
      <c r="DC42" s="52"/>
      <c r="DD42" s="52"/>
      <c r="DE42" s="52"/>
      <c r="DF42" s="52"/>
      <c r="DG42" s="52"/>
      <c r="DH42" s="52"/>
      <c r="DI42" s="52"/>
      <c r="DJ42" s="52"/>
      <c r="DK42" s="52"/>
      <c r="DL42" s="52"/>
      <c r="DM42" s="52"/>
      <c r="DN42" s="52"/>
      <c r="DO42" s="52"/>
      <c r="DP42" s="52"/>
      <c r="DQ42" s="52"/>
      <c r="DR42" s="52"/>
      <c r="DS42" s="52"/>
      <c r="DT42" s="52"/>
      <c r="DU42" s="52"/>
      <c r="DV42" s="52"/>
      <c r="DW42" s="52"/>
      <c r="DX42" s="52"/>
      <c r="DY42" s="52"/>
      <c r="DZ42" s="52"/>
      <c r="EA42" s="52"/>
      <c r="EB42" s="52"/>
      <c r="EC42" s="52"/>
      <c r="ED42" s="52"/>
      <c r="EE42" s="52"/>
      <c r="EF42" s="52"/>
      <c r="EG42" s="52"/>
      <c r="EH42" s="52"/>
      <c r="EI42" s="52"/>
      <c r="EJ42" s="52"/>
      <c r="EK42" s="52"/>
      <c r="EL42" s="52"/>
      <c r="EM42" s="52"/>
      <c r="EN42" s="52"/>
      <c r="EO42" s="52"/>
      <c r="EP42" s="52"/>
      <c r="EQ42" s="52"/>
      <c r="ER42" s="52"/>
      <c r="ES42" s="52"/>
      <c r="ET42" s="52"/>
      <c r="EU42" s="52"/>
      <c r="EV42" s="52"/>
      <c r="EW42" s="52"/>
      <c r="EX42" s="52"/>
      <c r="EY42" s="52"/>
      <c r="EZ42" s="52"/>
      <c r="FA42" s="52"/>
      <c r="FB42" s="52"/>
      <c r="FC42" s="52"/>
      <c r="FD42" s="52"/>
      <c r="FE42" s="52"/>
      <c r="FF42" s="52"/>
      <c r="FG42" s="52"/>
      <c r="FH42" s="52"/>
      <c r="FI42" s="52"/>
      <c r="FJ42" s="52"/>
      <c r="FK42" s="52"/>
      <c r="FL42" s="52"/>
      <c r="FM42" s="52"/>
      <c r="FN42" s="52"/>
      <c r="FO42" s="52"/>
      <c r="FP42" s="52"/>
      <c r="FQ42" s="52"/>
      <c r="FR42" s="52"/>
      <c r="FS42" s="52"/>
      <c r="FT42" s="52"/>
      <c r="FU42" s="52"/>
      <c r="FV42" s="52"/>
      <c r="FW42" s="52"/>
      <c r="FX42" s="52"/>
      <c r="FY42" s="52"/>
      <c r="FZ42" s="52"/>
      <c r="GA42" s="52"/>
      <c r="GB42" s="52"/>
      <c r="GC42" s="52"/>
      <c r="GD42" s="52"/>
      <c r="GE42" s="52"/>
      <c r="GF42" s="52"/>
      <c r="GG42" s="52"/>
      <c r="GH42" s="52"/>
      <c r="GI42" s="52"/>
      <c r="GJ42" s="52"/>
      <c r="GK42" s="52"/>
      <c r="GL42" s="52"/>
      <c r="GM42" s="52"/>
      <c r="GN42" s="52"/>
      <c r="GO42" s="52"/>
      <c r="GP42" s="52"/>
      <c r="GQ42" s="52"/>
      <c r="GR42" s="52"/>
      <c r="GS42" s="52"/>
      <c r="GT42" s="52"/>
      <c r="GU42" s="52"/>
      <c r="GV42" s="52"/>
      <c r="GW42" s="52"/>
      <c r="GX42" s="52"/>
      <c r="GY42" s="52"/>
      <c r="GZ42" s="52"/>
      <c r="HA42" s="52"/>
      <c r="HB42" s="52"/>
      <c r="HC42" s="52"/>
      <c r="HD42" s="52"/>
      <c r="HE42" s="52"/>
      <c r="HF42" s="52"/>
      <c r="HG42" s="52"/>
      <c r="HH42" s="52"/>
      <c r="HI42" s="52"/>
      <c r="HJ42" s="52"/>
      <c r="HK42" s="52"/>
      <c r="HL42" s="52"/>
      <c r="HM42" s="52"/>
      <c r="HN42" s="52"/>
      <c r="HO42" s="52"/>
      <c r="HP42" s="52"/>
      <c r="HQ42" s="52"/>
      <c r="HR42" s="52"/>
      <c r="HS42" s="52"/>
      <c r="HT42" s="52"/>
      <c r="HU42" s="52"/>
      <c r="HV42" s="52"/>
      <c r="HW42" s="52"/>
      <c r="HX42" s="52"/>
      <c r="HY42" s="52"/>
      <c r="HZ42" s="52"/>
      <c r="IA42" s="52"/>
      <c r="IB42" s="52"/>
      <c r="IC42" s="52"/>
      <c r="ID42" s="52"/>
      <c r="IE42" s="52"/>
      <c r="IF42" s="52"/>
      <c r="IG42" s="52"/>
      <c r="IH42" s="52"/>
      <c r="II42" s="52"/>
      <c r="IJ42" s="52"/>
      <c r="IK42" s="52"/>
      <c r="IL42" s="52"/>
      <c r="IM42" s="52"/>
      <c r="IN42" s="52"/>
      <c r="IO42" s="52"/>
      <c r="IP42" s="52"/>
      <c r="IQ42" s="52"/>
      <c r="IR42" s="52"/>
      <c r="IS42" s="52"/>
      <c r="IT42" s="52"/>
      <c r="IU42" s="52"/>
      <c r="IV42" s="52"/>
    </row>
    <row r="43" spans="1:256" ht="18.75" customHeight="1" x14ac:dyDescent="0.25">
      <c r="A43" s="2" t="s">
        <v>28</v>
      </c>
      <c r="B43" s="52"/>
      <c r="C43" s="52"/>
      <c r="D43" s="52"/>
      <c r="E43" s="52"/>
      <c r="F43" s="52"/>
      <c r="G43" s="52"/>
      <c r="H43" s="52"/>
      <c r="I43" s="52"/>
      <c r="J43" s="52"/>
      <c r="K43" s="52"/>
      <c r="L43" s="52"/>
      <c r="M43" s="52"/>
      <c r="N43" s="52"/>
      <c r="O43" s="52"/>
      <c r="P43" s="52"/>
      <c r="Q43" s="52"/>
      <c r="R43" s="52"/>
      <c r="S43" s="52"/>
      <c r="T43" s="52"/>
      <c r="U43" s="52"/>
      <c r="V43" s="52"/>
      <c r="W43" s="52"/>
      <c r="X43" s="52"/>
      <c r="Y43" s="52"/>
      <c r="Z43" s="52"/>
      <c r="AA43" s="52"/>
      <c r="AB43" s="52"/>
      <c r="AC43" s="52"/>
      <c r="AD43" s="52"/>
      <c r="AE43" s="52"/>
      <c r="AF43" s="52"/>
      <c r="AG43" s="52"/>
      <c r="AH43" s="52"/>
      <c r="AI43" s="52"/>
      <c r="AJ43" s="52"/>
      <c r="AK43" s="52"/>
      <c r="AL43" s="52"/>
      <c r="AM43" s="52"/>
      <c r="AN43" s="52"/>
      <c r="AO43" s="52"/>
      <c r="AP43" s="52"/>
      <c r="AQ43" s="52"/>
      <c r="AR43" s="52"/>
      <c r="AS43" s="52"/>
      <c r="AT43" s="52"/>
      <c r="AU43" s="52"/>
      <c r="AV43" s="52"/>
      <c r="AW43" s="52"/>
      <c r="AX43" s="52"/>
      <c r="AY43" s="52"/>
      <c r="AZ43" s="52"/>
      <c r="BA43" s="52"/>
      <c r="BB43" s="52"/>
      <c r="BC43" s="52"/>
      <c r="BD43" s="52"/>
      <c r="BE43" s="52"/>
      <c r="BF43" s="52"/>
      <c r="BG43" s="52"/>
      <c r="BH43" s="52"/>
      <c r="BI43" s="52"/>
      <c r="BJ43" s="52"/>
      <c r="BK43" s="52"/>
      <c r="BL43" s="52"/>
      <c r="BM43" s="52"/>
      <c r="BN43" s="52"/>
      <c r="BO43" s="52"/>
      <c r="BP43" s="52"/>
      <c r="BQ43" s="52"/>
      <c r="BR43" s="52"/>
      <c r="BS43" s="52"/>
      <c r="BT43" s="52"/>
      <c r="BU43" s="52"/>
      <c r="BV43" s="52"/>
      <c r="BW43" s="52"/>
      <c r="BX43" s="52"/>
      <c r="BY43" s="52"/>
      <c r="BZ43" s="52"/>
      <c r="CA43" s="52"/>
      <c r="CB43" s="52"/>
      <c r="CC43" s="52"/>
      <c r="CD43" s="52"/>
      <c r="CE43" s="52"/>
      <c r="CF43" s="52"/>
      <c r="CG43" s="52"/>
      <c r="CH43" s="52"/>
      <c r="CI43" s="52"/>
      <c r="CJ43" s="52"/>
      <c r="CK43" s="52"/>
      <c r="CL43" s="52"/>
      <c r="CM43" s="52"/>
      <c r="CN43" s="52"/>
      <c r="CO43" s="52"/>
      <c r="CP43" s="52"/>
      <c r="CQ43" s="52"/>
      <c r="CR43" s="52"/>
      <c r="CS43" s="52"/>
      <c r="CT43" s="52"/>
      <c r="CU43" s="52"/>
      <c r="CV43" s="52"/>
      <c r="CW43" s="52"/>
      <c r="CX43" s="52"/>
      <c r="CY43" s="52"/>
      <c r="CZ43" s="52"/>
      <c r="DA43" s="52"/>
      <c r="DB43" s="52"/>
      <c r="DC43" s="52"/>
      <c r="DD43" s="52"/>
      <c r="DE43" s="52"/>
      <c r="DF43" s="52"/>
      <c r="DG43" s="52"/>
      <c r="DH43" s="52"/>
      <c r="DI43" s="52"/>
      <c r="DJ43" s="52"/>
      <c r="DK43" s="52"/>
      <c r="DL43" s="52"/>
      <c r="DM43" s="52"/>
      <c r="DN43" s="52"/>
      <c r="DO43" s="52"/>
      <c r="DP43" s="52"/>
      <c r="DQ43" s="52"/>
      <c r="DR43" s="52"/>
      <c r="DS43" s="52"/>
      <c r="DT43" s="52"/>
      <c r="DU43" s="52"/>
      <c r="DV43" s="52"/>
      <c r="DW43" s="52"/>
      <c r="DX43" s="52"/>
      <c r="DY43" s="52"/>
      <c r="DZ43" s="52"/>
      <c r="EA43" s="52"/>
      <c r="EB43" s="52"/>
      <c r="EC43" s="52"/>
      <c r="ED43" s="52"/>
      <c r="EE43" s="52"/>
      <c r="EF43" s="52"/>
      <c r="EG43" s="52"/>
      <c r="EH43" s="52"/>
      <c r="EI43" s="52"/>
      <c r="EJ43" s="52"/>
      <c r="EK43" s="52"/>
      <c r="EL43" s="52"/>
      <c r="EM43" s="52"/>
      <c r="EN43" s="52"/>
      <c r="EO43" s="52"/>
      <c r="EP43" s="52"/>
      <c r="EQ43" s="52"/>
      <c r="ER43" s="52"/>
      <c r="ES43" s="52"/>
      <c r="ET43" s="52"/>
      <c r="EU43" s="52"/>
      <c r="EV43" s="52"/>
      <c r="EW43" s="52"/>
      <c r="EX43" s="52"/>
      <c r="EY43" s="52"/>
      <c r="EZ43" s="52"/>
      <c r="FA43" s="52"/>
      <c r="FB43" s="52"/>
      <c r="FC43" s="52"/>
      <c r="FD43" s="52"/>
      <c r="FE43" s="52"/>
      <c r="FF43" s="52"/>
      <c r="FG43" s="52"/>
      <c r="FH43" s="52"/>
      <c r="FI43" s="52"/>
      <c r="FJ43" s="52"/>
      <c r="FK43" s="52"/>
      <c r="FL43" s="52"/>
      <c r="FM43" s="52"/>
      <c r="FN43" s="52"/>
      <c r="FO43" s="52"/>
      <c r="FP43" s="52"/>
      <c r="FQ43" s="52"/>
      <c r="FR43" s="52"/>
      <c r="FS43" s="52"/>
      <c r="FT43" s="52"/>
      <c r="FU43" s="52"/>
      <c r="FV43" s="52"/>
      <c r="FW43" s="52"/>
      <c r="FX43" s="52"/>
      <c r="FY43" s="52"/>
      <c r="FZ43" s="52"/>
      <c r="GA43" s="52"/>
      <c r="GB43" s="52"/>
      <c r="GC43" s="52"/>
      <c r="GD43" s="52"/>
      <c r="GE43" s="52"/>
      <c r="GF43" s="52"/>
      <c r="GG43" s="52"/>
      <c r="GH43" s="52"/>
      <c r="GI43" s="52"/>
      <c r="GJ43" s="52"/>
      <c r="GK43" s="52"/>
      <c r="GL43" s="52"/>
      <c r="GM43" s="52"/>
      <c r="GN43" s="52"/>
      <c r="GO43" s="52"/>
      <c r="GP43" s="52"/>
      <c r="GQ43" s="52"/>
      <c r="GR43" s="52"/>
      <c r="GS43" s="52"/>
      <c r="GT43" s="52"/>
      <c r="GU43" s="52"/>
      <c r="GV43" s="52"/>
      <c r="GW43" s="52"/>
      <c r="GX43" s="52"/>
      <c r="GY43" s="52"/>
      <c r="GZ43" s="52"/>
      <c r="HA43" s="52"/>
      <c r="HB43" s="52"/>
      <c r="HC43" s="52"/>
      <c r="HD43" s="52"/>
      <c r="HE43" s="52"/>
      <c r="HF43" s="52"/>
      <c r="HG43" s="52"/>
      <c r="HH43" s="52"/>
      <c r="HI43" s="52"/>
      <c r="HJ43" s="52"/>
      <c r="HK43" s="52"/>
      <c r="HL43" s="52"/>
      <c r="HM43" s="52"/>
      <c r="HN43" s="52"/>
      <c r="HO43" s="52"/>
      <c r="HP43" s="52"/>
      <c r="HQ43" s="52"/>
      <c r="HR43" s="52"/>
      <c r="HS43" s="52"/>
      <c r="HT43" s="52"/>
      <c r="HU43" s="52"/>
      <c r="HV43" s="52"/>
      <c r="HW43" s="52"/>
      <c r="HX43" s="52"/>
      <c r="HY43" s="52"/>
      <c r="HZ43" s="52"/>
      <c r="IA43" s="52"/>
      <c r="IB43" s="52"/>
      <c r="IC43" s="52"/>
      <c r="ID43" s="52"/>
      <c r="IE43" s="52"/>
      <c r="IF43" s="52"/>
      <c r="IG43" s="52"/>
      <c r="IH43" s="52"/>
      <c r="II43" s="52"/>
      <c r="IJ43" s="52"/>
      <c r="IK43" s="52"/>
      <c r="IL43" s="52"/>
      <c r="IM43" s="52"/>
      <c r="IN43" s="52"/>
      <c r="IO43" s="52"/>
      <c r="IP43" s="52"/>
      <c r="IQ43" s="52"/>
      <c r="IR43" s="52"/>
      <c r="IS43" s="52"/>
      <c r="IT43" s="52"/>
      <c r="IU43" s="52"/>
      <c r="IV43" s="52"/>
    </row>
    <row r="44" spans="1:256" ht="17.25" customHeight="1" x14ac:dyDescent="0.25">
      <c r="A44" s="52" t="s">
        <v>352</v>
      </c>
      <c r="B44" s="52"/>
      <c r="C44" s="52"/>
      <c r="D44" s="52"/>
      <c r="E44" s="52"/>
      <c r="F44" s="52"/>
      <c r="G44" s="52"/>
      <c r="H44" s="52"/>
      <c r="I44" s="52"/>
      <c r="J44" s="52"/>
      <c r="K44" s="52"/>
      <c r="L44" s="52"/>
      <c r="M44" s="52"/>
      <c r="N44" s="52"/>
      <c r="O44" s="52"/>
      <c r="P44" s="52"/>
      <c r="Q44" s="52"/>
      <c r="R44" s="52"/>
      <c r="S44" s="52"/>
      <c r="T44" s="52"/>
      <c r="U44" s="52"/>
      <c r="V44" s="52"/>
      <c r="W44" s="52"/>
      <c r="X44" s="52"/>
      <c r="Y44" s="52"/>
      <c r="Z44" s="52"/>
      <c r="AA44" s="52"/>
      <c r="AB44" s="52"/>
      <c r="AC44" s="52"/>
      <c r="AD44" s="52"/>
      <c r="AE44" s="52"/>
      <c r="AF44" s="52"/>
      <c r="AG44" s="52"/>
      <c r="AH44" s="52"/>
      <c r="AI44" s="52"/>
      <c r="AJ44" s="52"/>
      <c r="AK44" s="52"/>
      <c r="AL44" s="52"/>
      <c r="AM44" s="52"/>
      <c r="AN44" s="52"/>
      <c r="AO44" s="52"/>
      <c r="AP44" s="52"/>
      <c r="AQ44" s="52"/>
      <c r="AR44" s="52"/>
      <c r="AS44" s="52"/>
      <c r="AT44" s="52"/>
      <c r="AU44" s="52"/>
      <c r="AV44" s="52"/>
      <c r="AW44" s="52"/>
      <c r="AX44" s="52"/>
      <c r="AY44" s="52"/>
      <c r="AZ44" s="52"/>
      <c r="BA44" s="52"/>
      <c r="BB44" s="52"/>
      <c r="BC44" s="52"/>
      <c r="BD44" s="52"/>
      <c r="BE44" s="52"/>
      <c r="BF44" s="52"/>
      <c r="BG44" s="52"/>
      <c r="BH44" s="52"/>
      <c r="BI44" s="52"/>
      <c r="BJ44" s="52"/>
      <c r="BK44" s="52"/>
      <c r="BL44" s="52"/>
      <c r="BM44" s="52"/>
      <c r="BN44" s="52"/>
      <c r="BO44" s="52"/>
      <c r="BP44" s="52"/>
      <c r="BQ44" s="52"/>
      <c r="BR44" s="52"/>
      <c r="BS44" s="52"/>
      <c r="BT44" s="52"/>
      <c r="BU44" s="52"/>
      <c r="BV44" s="52"/>
      <c r="BW44" s="52"/>
      <c r="BX44" s="52"/>
      <c r="BY44" s="52"/>
      <c r="BZ44" s="52"/>
      <c r="CA44" s="52"/>
      <c r="CB44" s="52"/>
      <c r="CC44" s="52"/>
      <c r="CD44" s="52"/>
      <c r="CE44" s="52"/>
      <c r="CF44" s="52"/>
      <c r="CG44" s="52"/>
      <c r="CH44" s="52"/>
      <c r="CI44" s="52"/>
      <c r="CJ44" s="52"/>
      <c r="CK44" s="52"/>
      <c r="CL44" s="52"/>
      <c r="CM44" s="52"/>
      <c r="CN44" s="52"/>
      <c r="CO44" s="52"/>
      <c r="CP44" s="52"/>
      <c r="CQ44" s="52"/>
      <c r="CR44" s="52"/>
      <c r="CS44" s="52"/>
      <c r="CT44" s="52"/>
      <c r="CU44" s="52"/>
      <c r="CV44" s="52"/>
      <c r="CW44" s="52"/>
      <c r="CX44" s="52"/>
      <c r="CY44" s="52"/>
      <c r="CZ44" s="52"/>
      <c r="DA44" s="52"/>
      <c r="DB44" s="52"/>
      <c r="DC44" s="52"/>
      <c r="DD44" s="52"/>
      <c r="DE44" s="52"/>
      <c r="DF44" s="52"/>
      <c r="DG44" s="52"/>
      <c r="DH44" s="52"/>
      <c r="DI44" s="52"/>
      <c r="DJ44" s="52"/>
      <c r="DK44" s="52"/>
      <c r="DL44" s="52"/>
      <c r="DM44" s="52"/>
      <c r="DN44" s="52"/>
      <c r="DO44" s="52"/>
      <c r="DP44" s="52"/>
      <c r="DQ44" s="52"/>
      <c r="DR44" s="52"/>
      <c r="DS44" s="52"/>
      <c r="DT44" s="52"/>
      <c r="DU44" s="52"/>
      <c r="DV44" s="52"/>
      <c r="DW44" s="52"/>
      <c r="DX44" s="52"/>
      <c r="DY44" s="52"/>
      <c r="DZ44" s="52"/>
      <c r="EA44" s="52"/>
      <c r="EB44" s="52"/>
      <c r="EC44" s="52"/>
      <c r="ED44" s="52"/>
      <c r="EE44" s="52"/>
      <c r="EF44" s="52"/>
      <c r="EG44" s="52"/>
      <c r="EH44" s="52"/>
      <c r="EI44" s="52"/>
      <c r="EJ44" s="52"/>
      <c r="EK44" s="52"/>
      <c r="EL44" s="52"/>
      <c r="EM44" s="52"/>
      <c r="EN44" s="52"/>
      <c r="EO44" s="52"/>
      <c r="EP44" s="52"/>
      <c r="EQ44" s="52"/>
      <c r="ER44" s="52"/>
      <c r="ES44" s="52"/>
      <c r="ET44" s="52"/>
      <c r="EU44" s="52"/>
      <c r="EV44" s="52"/>
      <c r="EW44" s="52"/>
      <c r="EX44" s="52"/>
      <c r="EY44" s="52"/>
      <c r="EZ44" s="52"/>
      <c r="FA44" s="52"/>
      <c r="FB44" s="52"/>
      <c r="FC44" s="52"/>
      <c r="FD44" s="52"/>
      <c r="FE44" s="52"/>
      <c r="FF44" s="52"/>
      <c r="FG44" s="52"/>
      <c r="FH44" s="52"/>
      <c r="FI44" s="52"/>
      <c r="FJ44" s="52"/>
      <c r="FK44" s="52"/>
      <c r="FL44" s="52"/>
      <c r="FM44" s="52"/>
      <c r="FN44" s="52"/>
      <c r="FO44" s="52"/>
      <c r="FP44" s="52"/>
      <c r="FQ44" s="52"/>
      <c r="FR44" s="52"/>
      <c r="FS44" s="52"/>
      <c r="FT44" s="52"/>
      <c r="FU44" s="52"/>
      <c r="FV44" s="52"/>
      <c r="FW44" s="52"/>
      <c r="FX44" s="52"/>
      <c r="FY44" s="52"/>
      <c r="FZ44" s="52"/>
      <c r="GA44" s="52"/>
      <c r="GB44" s="52"/>
      <c r="GC44" s="52"/>
      <c r="GD44" s="52"/>
      <c r="GE44" s="52"/>
      <c r="GF44" s="52"/>
      <c r="GG44" s="52"/>
      <c r="GH44" s="52"/>
      <c r="GI44" s="52"/>
      <c r="GJ44" s="52"/>
      <c r="GK44" s="52"/>
      <c r="GL44" s="52"/>
      <c r="GM44" s="52"/>
      <c r="GN44" s="52"/>
      <c r="GO44" s="52"/>
      <c r="GP44" s="52"/>
      <c r="GQ44" s="52"/>
      <c r="GR44" s="52"/>
      <c r="GS44" s="52"/>
      <c r="GT44" s="52"/>
      <c r="GU44" s="52"/>
      <c r="GV44" s="52"/>
      <c r="GW44" s="52"/>
      <c r="GX44" s="52"/>
      <c r="GY44" s="52"/>
      <c r="GZ44" s="52"/>
      <c r="HA44" s="52"/>
      <c r="HB44" s="52"/>
      <c r="HC44" s="52"/>
      <c r="HD44" s="52"/>
      <c r="HE44" s="52"/>
      <c r="HF44" s="52"/>
      <c r="HG44" s="52"/>
      <c r="HH44" s="52"/>
      <c r="HI44" s="52"/>
      <c r="HJ44" s="52"/>
      <c r="HK44" s="52"/>
      <c r="HL44" s="52"/>
      <c r="HM44" s="52"/>
      <c r="HN44" s="52"/>
      <c r="HO44" s="52"/>
      <c r="HP44" s="52"/>
      <c r="HQ44" s="52"/>
      <c r="HR44" s="52"/>
      <c r="HS44" s="52"/>
      <c r="HT44" s="52"/>
      <c r="HU44" s="52"/>
      <c r="HV44" s="52"/>
      <c r="HW44" s="52"/>
      <c r="HX44" s="52"/>
      <c r="HY44" s="52"/>
      <c r="HZ44" s="52"/>
      <c r="IA44" s="52"/>
      <c r="IB44" s="52"/>
      <c r="IC44" s="52"/>
      <c r="ID44" s="52"/>
      <c r="IE44" s="52"/>
      <c r="IF44" s="52"/>
      <c r="IG44" s="52"/>
      <c r="IH44" s="52"/>
      <c r="II44" s="52"/>
      <c r="IJ44" s="52"/>
      <c r="IK44" s="52"/>
      <c r="IL44" s="52"/>
      <c r="IM44" s="52"/>
      <c r="IN44" s="52"/>
      <c r="IO44" s="52"/>
      <c r="IP44" s="52"/>
      <c r="IQ44" s="52"/>
      <c r="IR44" s="52"/>
      <c r="IS44" s="52"/>
      <c r="IT44" s="52"/>
      <c r="IU44" s="52"/>
      <c r="IV44" s="52"/>
    </row>
  </sheetData>
  <mergeCells count="48">
    <mergeCell ref="C1:I1"/>
    <mergeCell ref="A12:I12"/>
    <mergeCell ref="A13:I13"/>
    <mergeCell ref="A15:I15"/>
    <mergeCell ref="B17:C17"/>
    <mergeCell ref="D17:G17"/>
    <mergeCell ref="B18:C18"/>
    <mergeCell ref="D18:G18"/>
    <mergeCell ref="B19:C19"/>
    <mergeCell ref="D19:G19"/>
    <mergeCell ref="B20:C20"/>
    <mergeCell ref="D20:G20"/>
    <mergeCell ref="B21:C21"/>
    <mergeCell ref="D21:G21"/>
    <mergeCell ref="B22:C22"/>
    <mergeCell ref="D22:G22"/>
    <mergeCell ref="B23:C23"/>
    <mergeCell ref="D23:G23"/>
    <mergeCell ref="B24:C24"/>
    <mergeCell ref="D24:G24"/>
    <mergeCell ref="B25:C25"/>
    <mergeCell ref="D25:G25"/>
    <mergeCell ref="B26:C26"/>
    <mergeCell ref="D26:G26"/>
    <mergeCell ref="B27:C27"/>
    <mergeCell ref="D27:G27"/>
    <mergeCell ref="B28:C28"/>
    <mergeCell ref="D28:G28"/>
    <mergeCell ref="B29:C29"/>
    <mergeCell ref="D29:G29"/>
    <mergeCell ref="B30:C30"/>
    <mergeCell ref="D30:G30"/>
    <mergeCell ref="B31:C31"/>
    <mergeCell ref="D31:G31"/>
    <mergeCell ref="B32:C32"/>
    <mergeCell ref="D32:G32"/>
    <mergeCell ref="B33:C33"/>
    <mergeCell ref="D33:G33"/>
    <mergeCell ref="B34:C34"/>
    <mergeCell ref="D34:G34"/>
    <mergeCell ref="B35:C35"/>
    <mergeCell ref="D35:G35"/>
    <mergeCell ref="B36:C36"/>
    <mergeCell ref="D36:G36"/>
    <mergeCell ref="B37:C37"/>
    <mergeCell ref="D37:G37"/>
    <mergeCell ref="B38:C38"/>
    <mergeCell ref="D38:G38"/>
  </mergeCells>
  <pageMargins left="0.11811023622047245" right="0.19685039370078741" top="7.874015748031496E-2" bottom="0.19685039370078741" header="0.31496062992125984" footer="0.31496062992125984"/>
  <pageSetup paperSize="9" orientation="portrait" useFirstPageNumber="1" r:id="rId1"/>
  <headerFooter alignWithMargins="0">
    <oddFooter>&amp;CСтраница &amp;P</oddFooter>
  </headerFooter>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4"/>
  <sheetViews>
    <sheetView topLeftCell="A16" zoomScaleNormal="100" workbookViewId="0">
      <selection activeCell="E24" sqref="E24"/>
    </sheetView>
  </sheetViews>
  <sheetFormatPr defaultRowHeight="15.75" x14ac:dyDescent="0.25"/>
  <cols>
    <col min="1" max="1" width="4.7109375" style="1" customWidth="1"/>
    <col min="2" max="2" width="26.140625" style="1" customWidth="1"/>
    <col min="3" max="3" width="33" style="1" customWidth="1"/>
    <col min="4" max="4" width="26.5703125" style="1" customWidth="1"/>
    <col min="5" max="5" width="11.85546875" style="1" customWidth="1"/>
    <col min="6" max="16384" width="9.140625" style="1"/>
  </cols>
  <sheetData>
    <row r="1" spans="1:5" x14ac:dyDescent="0.25">
      <c r="B1" s="188" t="s">
        <v>327</v>
      </c>
      <c r="C1" s="188"/>
      <c r="D1" s="188"/>
    </row>
    <row r="3" spans="1:5" x14ac:dyDescent="0.25">
      <c r="A3" s="92" t="s">
        <v>230</v>
      </c>
      <c r="B3" s="93"/>
      <c r="C3" s="94"/>
      <c r="D3" s="92" t="s">
        <v>231</v>
      </c>
      <c r="E3"/>
    </row>
    <row r="4" spans="1:5" x14ac:dyDescent="0.25">
      <c r="A4" s="95" t="s">
        <v>232</v>
      </c>
      <c r="B4" s="96"/>
      <c r="C4" s="94"/>
      <c r="D4" s="95" t="s">
        <v>233</v>
      </c>
      <c r="E4"/>
    </row>
    <row r="5" spans="1:5" x14ac:dyDescent="0.25">
      <c r="A5" s="97" t="s">
        <v>4</v>
      </c>
      <c r="B5" s="98"/>
      <c r="C5" s="20"/>
      <c r="D5" s="97" t="s">
        <v>183</v>
      </c>
      <c r="E5" s="99"/>
    </row>
    <row r="6" spans="1:5" x14ac:dyDescent="0.25">
      <c r="A6" s="97" t="s">
        <v>235</v>
      </c>
      <c r="B6" s="98"/>
      <c r="C6" s="100"/>
      <c r="D6" s="97" t="s">
        <v>5</v>
      </c>
      <c r="E6" s="101"/>
    </row>
    <row r="7" spans="1:5" x14ac:dyDescent="0.25">
      <c r="A7"/>
      <c r="B7" s="102"/>
      <c r="C7"/>
      <c r="D7" s="97"/>
      <c r="E7" s="99"/>
    </row>
    <row r="8" spans="1:5" x14ac:dyDescent="0.25">
      <c r="A8" s="97" t="s">
        <v>236</v>
      </c>
      <c r="B8" s="98"/>
      <c r="D8" s="97" t="s">
        <v>237</v>
      </c>
      <c r="E8" s="99"/>
    </row>
    <row r="9" spans="1:5" x14ac:dyDescent="0.25">
      <c r="A9" s="97" t="s">
        <v>326</v>
      </c>
      <c r="B9" s="98"/>
      <c r="D9" s="97" t="s">
        <v>325</v>
      </c>
      <c r="E9" s="98"/>
    </row>
    <row r="10" spans="1:5" x14ac:dyDescent="0.25">
      <c r="A10" s="4"/>
      <c r="D10" s="5"/>
      <c r="E10" s="6"/>
    </row>
    <row r="11" spans="1:5" ht="18" customHeight="1" x14ac:dyDescent="0.25">
      <c r="A11" s="189" t="s">
        <v>10</v>
      </c>
      <c r="B11" s="189"/>
      <c r="C11" s="189"/>
      <c r="D11" s="189"/>
      <c r="E11" s="189"/>
    </row>
    <row r="12" spans="1:5" x14ac:dyDescent="0.25">
      <c r="C12" s="141" t="s">
        <v>159</v>
      </c>
    </row>
    <row r="13" spans="1:5" x14ac:dyDescent="0.25">
      <c r="C13" s="7"/>
    </row>
    <row r="14" spans="1:5" ht="40.5" customHeight="1" x14ac:dyDescent="0.25">
      <c r="A14" s="190" t="s">
        <v>362</v>
      </c>
      <c r="B14" s="190"/>
      <c r="C14" s="190"/>
      <c r="D14" s="190"/>
      <c r="E14" s="190"/>
    </row>
    <row r="15" spans="1:5" x14ac:dyDescent="0.25">
      <c r="A15" s="8"/>
      <c r="B15" s="8"/>
      <c r="C15" s="8"/>
      <c r="D15" s="8"/>
      <c r="E15" s="8"/>
    </row>
    <row r="16" spans="1:5" ht="95.25" customHeight="1" x14ac:dyDescent="0.25">
      <c r="A16" s="9" t="s">
        <v>12</v>
      </c>
      <c r="B16" s="9" t="s">
        <v>13</v>
      </c>
      <c r="C16" s="9" t="s">
        <v>14</v>
      </c>
      <c r="D16" s="9" t="s">
        <v>15</v>
      </c>
      <c r="E16" s="9" t="s">
        <v>16</v>
      </c>
    </row>
    <row r="17" spans="1:5" ht="123.75" customHeight="1" x14ac:dyDescent="0.25">
      <c r="A17" s="10">
        <v>1</v>
      </c>
      <c r="B17" s="11" t="s">
        <v>361</v>
      </c>
      <c r="C17" s="11" t="s">
        <v>363</v>
      </c>
      <c r="D17" s="12" t="s">
        <v>364</v>
      </c>
      <c r="E17" s="13">
        <f>556.77*2.4*1.2*0.805*4.15</f>
        <v>5356.8846071999997</v>
      </c>
    </row>
    <row r="18" spans="1:5" ht="65.25" customHeight="1" x14ac:dyDescent="0.25">
      <c r="A18" s="10">
        <v>2</v>
      </c>
      <c r="B18" s="142" t="s">
        <v>17</v>
      </c>
      <c r="C18" s="12" t="s">
        <v>18</v>
      </c>
      <c r="D18" s="12" t="s">
        <v>365</v>
      </c>
      <c r="E18" s="13">
        <f>800*1*0.5*4.15</f>
        <v>1660.0000000000002</v>
      </c>
    </row>
    <row r="19" spans="1:5" ht="48" customHeight="1" x14ac:dyDescent="0.25">
      <c r="A19" s="10">
        <v>3</v>
      </c>
      <c r="B19" s="12" t="s">
        <v>20</v>
      </c>
      <c r="C19" s="15" t="s">
        <v>21</v>
      </c>
      <c r="D19" s="16">
        <f>(E17+E18)*0.1</f>
        <v>701.68846071999997</v>
      </c>
      <c r="E19" s="17">
        <f>D19</f>
        <v>701.68846071999997</v>
      </c>
    </row>
    <row r="20" spans="1:5" ht="48" customHeight="1" x14ac:dyDescent="0.25">
      <c r="A20" s="10">
        <v>4</v>
      </c>
      <c r="B20" s="119" t="s">
        <v>80</v>
      </c>
      <c r="C20" s="12" t="s">
        <v>89</v>
      </c>
      <c r="D20" s="16"/>
      <c r="E20" s="17">
        <v>2295.84</v>
      </c>
    </row>
    <row r="21" spans="1:5" ht="48" customHeight="1" x14ac:dyDescent="0.25">
      <c r="A21" s="10">
        <v>5</v>
      </c>
      <c r="B21" s="119" t="s">
        <v>23</v>
      </c>
      <c r="C21" s="118"/>
      <c r="D21" s="16"/>
      <c r="E21" s="17">
        <v>22752</v>
      </c>
    </row>
    <row r="22" spans="1:5" x14ac:dyDescent="0.25">
      <c r="A22" s="28">
        <v>6</v>
      </c>
      <c r="B22" s="19" t="s">
        <v>24</v>
      </c>
      <c r="C22" s="15"/>
      <c r="D22" s="15" t="s">
        <v>287</v>
      </c>
      <c r="E22" s="17">
        <f>E19+E18+E17+E20+E21</f>
        <v>32766.413067919999</v>
      </c>
    </row>
    <row r="23" spans="1:5" x14ac:dyDescent="0.25">
      <c r="A23" s="28">
        <v>7</v>
      </c>
      <c r="B23" s="19" t="s">
        <v>249</v>
      </c>
      <c r="C23" s="15"/>
      <c r="D23" s="15" t="s">
        <v>288</v>
      </c>
      <c r="E23" s="17">
        <f>ROUND(E22*20%,2)</f>
        <v>6553.28</v>
      </c>
    </row>
    <row r="24" spans="1:5" x14ac:dyDescent="0.25">
      <c r="A24" s="28">
        <v>8</v>
      </c>
      <c r="B24" s="19" t="s">
        <v>26</v>
      </c>
      <c r="C24" s="15"/>
      <c r="D24" s="15" t="s">
        <v>289</v>
      </c>
      <c r="E24" s="17">
        <f>E22+E23</f>
        <v>39319.693067920001</v>
      </c>
    </row>
    <row r="25" spans="1:5" x14ac:dyDescent="0.25">
      <c r="A25" s="20"/>
      <c r="B25" s="21"/>
      <c r="C25" s="22"/>
      <c r="D25" s="22"/>
      <c r="E25" s="23"/>
    </row>
    <row r="26" spans="1:5" x14ac:dyDescent="0.25">
      <c r="A26" s="1" t="s">
        <v>2</v>
      </c>
    </row>
    <row r="27" spans="1:5" x14ac:dyDescent="0.25">
      <c r="A27" s="1" t="s">
        <v>27</v>
      </c>
    </row>
    <row r="28" spans="1:5" x14ac:dyDescent="0.25">
      <c r="A28" s="1" t="s">
        <v>31</v>
      </c>
    </row>
    <row r="29" spans="1:5" x14ac:dyDescent="0.25">
      <c r="A29" s="4" t="s">
        <v>28</v>
      </c>
    </row>
    <row r="30" spans="1:5" x14ac:dyDescent="0.25">
      <c r="A30" s="1" t="s">
        <v>352</v>
      </c>
    </row>
    <row r="34" spans="5:5" x14ac:dyDescent="0.25">
      <c r="E34" s="1" t="s">
        <v>30</v>
      </c>
    </row>
  </sheetData>
  <mergeCells count="3">
    <mergeCell ref="B1:D1"/>
    <mergeCell ref="A11:E11"/>
    <mergeCell ref="A14:E14"/>
  </mergeCells>
  <pageMargins left="0.19685039370078741" right="0.19685039370078741" top="0.19685039370078741" bottom="0.19685039370078741" header="0.51181102362204722" footer="0.51181102362204722"/>
  <pageSetup paperSize="9" orientation="portrait" r:id="rId1"/>
  <headerFooter alignWithMargins="0"/>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44"/>
  <sheetViews>
    <sheetView topLeftCell="A19" zoomScaleNormal="100" workbookViewId="0">
      <selection activeCell="B20" sqref="B20:C20"/>
    </sheetView>
  </sheetViews>
  <sheetFormatPr defaultColWidth="11.5703125" defaultRowHeight="12.75" x14ac:dyDescent="0.2"/>
  <cols>
    <col min="1" max="1" width="3.7109375" style="50" customWidth="1"/>
    <col min="2" max="2" width="10.7109375" style="50" customWidth="1"/>
    <col min="3" max="3" width="10.28515625" style="50" customWidth="1"/>
    <col min="4" max="6" width="9.28515625" style="50" customWidth="1"/>
    <col min="7" max="7" width="19.42578125" style="50" customWidth="1"/>
    <col min="8" max="8" width="16.5703125" style="50" customWidth="1"/>
    <col min="9" max="9" width="13.5703125" style="50" customWidth="1"/>
    <col min="10" max="10" width="19.7109375" style="51" customWidth="1"/>
    <col min="11" max="256" width="11.5703125" style="51"/>
    <col min="257" max="257" width="3.7109375" style="51" customWidth="1"/>
    <col min="258" max="259" width="10.7109375" style="51" customWidth="1"/>
    <col min="260" max="263" width="9.28515625" style="51" customWidth="1"/>
    <col min="264" max="264" width="14.5703125" style="51" customWidth="1"/>
    <col min="265" max="265" width="17.7109375" style="51" customWidth="1"/>
    <col min="266" max="266" width="19.7109375" style="51" customWidth="1"/>
    <col min="267" max="512" width="11.5703125" style="51"/>
    <col min="513" max="513" width="3.7109375" style="51" customWidth="1"/>
    <col min="514" max="515" width="10.7109375" style="51" customWidth="1"/>
    <col min="516" max="519" width="9.28515625" style="51" customWidth="1"/>
    <col min="520" max="520" width="14.5703125" style="51" customWidth="1"/>
    <col min="521" max="521" width="17.7109375" style="51" customWidth="1"/>
    <col min="522" max="522" width="19.7109375" style="51" customWidth="1"/>
    <col min="523" max="768" width="11.5703125" style="51"/>
    <col min="769" max="769" width="3.7109375" style="51" customWidth="1"/>
    <col min="770" max="771" width="10.7109375" style="51" customWidth="1"/>
    <col min="772" max="775" width="9.28515625" style="51" customWidth="1"/>
    <col min="776" max="776" width="14.5703125" style="51" customWidth="1"/>
    <col min="777" max="777" width="17.7109375" style="51" customWidth="1"/>
    <col min="778" max="778" width="19.7109375" style="51" customWidth="1"/>
    <col min="779" max="1024" width="11.5703125" style="51"/>
    <col min="1025" max="1025" width="3.7109375" style="51" customWidth="1"/>
    <col min="1026" max="1027" width="10.7109375" style="51" customWidth="1"/>
    <col min="1028" max="1031" width="9.28515625" style="51" customWidth="1"/>
    <col min="1032" max="1032" width="14.5703125" style="51" customWidth="1"/>
    <col min="1033" max="1033" width="17.7109375" style="51" customWidth="1"/>
    <col min="1034" max="1034" width="19.7109375" style="51" customWidth="1"/>
    <col min="1035" max="1280" width="11.5703125" style="51"/>
    <col min="1281" max="1281" width="3.7109375" style="51" customWidth="1"/>
    <col min="1282" max="1283" width="10.7109375" style="51" customWidth="1"/>
    <col min="1284" max="1287" width="9.28515625" style="51" customWidth="1"/>
    <col min="1288" max="1288" width="14.5703125" style="51" customWidth="1"/>
    <col min="1289" max="1289" width="17.7109375" style="51" customWidth="1"/>
    <col min="1290" max="1290" width="19.7109375" style="51" customWidth="1"/>
    <col min="1291" max="1536" width="11.5703125" style="51"/>
    <col min="1537" max="1537" width="3.7109375" style="51" customWidth="1"/>
    <col min="1538" max="1539" width="10.7109375" style="51" customWidth="1"/>
    <col min="1540" max="1543" width="9.28515625" style="51" customWidth="1"/>
    <col min="1544" max="1544" width="14.5703125" style="51" customWidth="1"/>
    <col min="1545" max="1545" width="17.7109375" style="51" customWidth="1"/>
    <col min="1546" max="1546" width="19.7109375" style="51" customWidth="1"/>
    <col min="1547" max="1792" width="11.5703125" style="51"/>
    <col min="1793" max="1793" width="3.7109375" style="51" customWidth="1"/>
    <col min="1794" max="1795" width="10.7109375" style="51" customWidth="1"/>
    <col min="1796" max="1799" width="9.28515625" style="51" customWidth="1"/>
    <col min="1800" max="1800" width="14.5703125" style="51" customWidth="1"/>
    <col min="1801" max="1801" width="17.7109375" style="51" customWidth="1"/>
    <col min="1802" max="1802" width="19.7109375" style="51" customWidth="1"/>
    <col min="1803" max="2048" width="11.5703125" style="51"/>
    <col min="2049" max="2049" width="3.7109375" style="51" customWidth="1"/>
    <col min="2050" max="2051" width="10.7109375" style="51" customWidth="1"/>
    <col min="2052" max="2055" width="9.28515625" style="51" customWidth="1"/>
    <col min="2056" max="2056" width="14.5703125" style="51" customWidth="1"/>
    <col min="2057" max="2057" width="17.7109375" style="51" customWidth="1"/>
    <col min="2058" max="2058" width="19.7109375" style="51" customWidth="1"/>
    <col min="2059" max="2304" width="11.5703125" style="51"/>
    <col min="2305" max="2305" width="3.7109375" style="51" customWidth="1"/>
    <col min="2306" max="2307" width="10.7109375" style="51" customWidth="1"/>
    <col min="2308" max="2311" width="9.28515625" style="51" customWidth="1"/>
    <col min="2312" max="2312" width="14.5703125" style="51" customWidth="1"/>
    <col min="2313" max="2313" width="17.7109375" style="51" customWidth="1"/>
    <col min="2314" max="2314" width="19.7109375" style="51" customWidth="1"/>
    <col min="2315" max="2560" width="11.5703125" style="51"/>
    <col min="2561" max="2561" width="3.7109375" style="51" customWidth="1"/>
    <col min="2562" max="2563" width="10.7109375" style="51" customWidth="1"/>
    <col min="2564" max="2567" width="9.28515625" style="51" customWidth="1"/>
    <col min="2568" max="2568" width="14.5703125" style="51" customWidth="1"/>
    <col min="2569" max="2569" width="17.7109375" style="51" customWidth="1"/>
    <col min="2570" max="2570" width="19.7109375" style="51" customWidth="1"/>
    <col min="2571" max="2816" width="11.5703125" style="51"/>
    <col min="2817" max="2817" width="3.7109375" style="51" customWidth="1"/>
    <col min="2818" max="2819" width="10.7109375" style="51" customWidth="1"/>
    <col min="2820" max="2823" width="9.28515625" style="51" customWidth="1"/>
    <col min="2824" max="2824" width="14.5703125" style="51" customWidth="1"/>
    <col min="2825" max="2825" width="17.7109375" style="51" customWidth="1"/>
    <col min="2826" max="2826" width="19.7109375" style="51" customWidth="1"/>
    <col min="2827" max="3072" width="11.5703125" style="51"/>
    <col min="3073" max="3073" width="3.7109375" style="51" customWidth="1"/>
    <col min="3074" max="3075" width="10.7109375" style="51" customWidth="1"/>
    <col min="3076" max="3079" width="9.28515625" style="51" customWidth="1"/>
    <col min="3080" max="3080" width="14.5703125" style="51" customWidth="1"/>
    <col min="3081" max="3081" width="17.7109375" style="51" customWidth="1"/>
    <col min="3082" max="3082" width="19.7109375" style="51" customWidth="1"/>
    <col min="3083" max="3328" width="11.5703125" style="51"/>
    <col min="3329" max="3329" width="3.7109375" style="51" customWidth="1"/>
    <col min="3330" max="3331" width="10.7109375" style="51" customWidth="1"/>
    <col min="3332" max="3335" width="9.28515625" style="51" customWidth="1"/>
    <col min="3336" max="3336" width="14.5703125" style="51" customWidth="1"/>
    <col min="3337" max="3337" width="17.7109375" style="51" customWidth="1"/>
    <col min="3338" max="3338" width="19.7109375" style="51" customWidth="1"/>
    <col min="3339" max="3584" width="11.5703125" style="51"/>
    <col min="3585" max="3585" width="3.7109375" style="51" customWidth="1"/>
    <col min="3586" max="3587" width="10.7109375" style="51" customWidth="1"/>
    <col min="3588" max="3591" width="9.28515625" style="51" customWidth="1"/>
    <col min="3592" max="3592" width="14.5703125" style="51" customWidth="1"/>
    <col min="3593" max="3593" width="17.7109375" style="51" customWidth="1"/>
    <col min="3594" max="3594" width="19.7109375" style="51" customWidth="1"/>
    <col min="3595" max="3840" width="11.5703125" style="51"/>
    <col min="3841" max="3841" width="3.7109375" style="51" customWidth="1"/>
    <col min="3842" max="3843" width="10.7109375" style="51" customWidth="1"/>
    <col min="3844" max="3847" width="9.28515625" style="51" customWidth="1"/>
    <col min="3848" max="3848" width="14.5703125" style="51" customWidth="1"/>
    <col min="3849" max="3849" width="17.7109375" style="51" customWidth="1"/>
    <col min="3850" max="3850" width="19.7109375" style="51" customWidth="1"/>
    <col min="3851" max="4096" width="11.5703125" style="51"/>
    <col min="4097" max="4097" width="3.7109375" style="51" customWidth="1"/>
    <col min="4098" max="4099" width="10.7109375" style="51" customWidth="1"/>
    <col min="4100" max="4103" width="9.28515625" style="51" customWidth="1"/>
    <col min="4104" max="4104" width="14.5703125" style="51" customWidth="1"/>
    <col min="4105" max="4105" width="17.7109375" style="51" customWidth="1"/>
    <col min="4106" max="4106" width="19.7109375" style="51" customWidth="1"/>
    <col min="4107" max="4352" width="11.5703125" style="51"/>
    <col min="4353" max="4353" width="3.7109375" style="51" customWidth="1"/>
    <col min="4354" max="4355" width="10.7109375" style="51" customWidth="1"/>
    <col min="4356" max="4359" width="9.28515625" style="51" customWidth="1"/>
    <col min="4360" max="4360" width="14.5703125" style="51" customWidth="1"/>
    <col min="4361" max="4361" width="17.7109375" style="51" customWidth="1"/>
    <col min="4362" max="4362" width="19.7109375" style="51" customWidth="1"/>
    <col min="4363" max="4608" width="11.5703125" style="51"/>
    <col min="4609" max="4609" width="3.7109375" style="51" customWidth="1"/>
    <col min="4610" max="4611" width="10.7109375" style="51" customWidth="1"/>
    <col min="4612" max="4615" width="9.28515625" style="51" customWidth="1"/>
    <col min="4616" max="4616" width="14.5703125" style="51" customWidth="1"/>
    <col min="4617" max="4617" width="17.7109375" style="51" customWidth="1"/>
    <col min="4618" max="4618" width="19.7109375" style="51" customWidth="1"/>
    <col min="4619" max="4864" width="11.5703125" style="51"/>
    <col min="4865" max="4865" width="3.7109375" style="51" customWidth="1"/>
    <col min="4866" max="4867" width="10.7109375" style="51" customWidth="1"/>
    <col min="4868" max="4871" width="9.28515625" style="51" customWidth="1"/>
    <col min="4872" max="4872" width="14.5703125" style="51" customWidth="1"/>
    <col min="4873" max="4873" width="17.7109375" style="51" customWidth="1"/>
    <col min="4874" max="4874" width="19.7109375" style="51" customWidth="1"/>
    <col min="4875" max="5120" width="11.5703125" style="51"/>
    <col min="5121" max="5121" width="3.7109375" style="51" customWidth="1"/>
    <col min="5122" max="5123" width="10.7109375" style="51" customWidth="1"/>
    <col min="5124" max="5127" width="9.28515625" style="51" customWidth="1"/>
    <col min="5128" max="5128" width="14.5703125" style="51" customWidth="1"/>
    <col min="5129" max="5129" width="17.7109375" style="51" customWidth="1"/>
    <col min="5130" max="5130" width="19.7109375" style="51" customWidth="1"/>
    <col min="5131" max="5376" width="11.5703125" style="51"/>
    <col min="5377" max="5377" width="3.7109375" style="51" customWidth="1"/>
    <col min="5378" max="5379" width="10.7109375" style="51" customWidth="1"/>
    <col min="5380" max="5383" width="9.28515625" style="51" customWidth="1"/>
    <col min="5384" max="5384" width="14.5703125" style="51" customWidth="1"/>
    <col min="5385" max="5385" width="17.7109375" style="51" customWidth="1"/>
    <col min="5386" max="5386" width="19.7109375" style="51" customWidth="1"/>
    <col min="5387" max="5632" width="11.5703125" style="51"/>
    <col min="5633" max="5633" width="3.7109375" style="51" customWidth="1"/>
    <col min="5634" max="5635" width="10.7109375" style="51" customWidth="1"/>
    <col min="5636" max="5639" width="9.28515625" style="51" customWidth="1"/>
    <col min="5640" max="5640" width="14.5703125" style="51" customWidth="1"/>
    <col min="5641" max="5641" width="17.7109375" style="51" customWidth="1"/>
    <col min="5642" max="5642" width="19.7109375" style="51" customWidth="1"/>
    <col min="5643" max="5888" width="11.5703125" style="51"/>
    <col min="5889" max="5889" width="3.7109375" style="51" customWidth="1"/>
    <col min="5890" max="5891" width="10.7109375" style="51" customWidth="1"/>
    <col min="5892" max="5895" width="9.28515625" style="51" customWidth="1"/>
    <col min="5896" max="5896" width="14.5703125" style="51" customWidth="1"/>
    <col min="5897" max="5897" width="17.7109375" style="51" customWidth="1"/>
    <col min="5898" max="5898" width="19.7109375" style="51" customWidth="1"/>
    <col min="5899" max="6144" width="11.5703125" style="51"/>
    <col min="6145" max="6145" width="3.7109375" style="51" customWidth="1"/>
    <col min="6146" max="6147" width="10.7109375" style="51" customWidth="1"/>
    <col min="6148" max="6151" width="9.28515625" style="51" customWidth="1"/>
    <col min="6152" max="6152" width="14.5703125" style="51" customWidth="1"/>
    <col min="6153" max="6153" width="17.7109375" style="51" customWidth="1"/>
    <col min="6154" max="6154" width="19.7109375" style="51" customWidth="1"/>
    <col min="6155" max="6400" width="11.5703125" style="51"/>
    <col min="6401" max="6401" width="3.7109375" style="51" customWidth="1"/>
    <col min="6402" max="6403" width="10.7109375" style="51" customWidth="1"/>
    <col min="6404" max="6407" width="9.28515625" style="51" customWidth="1"/>
    <col min="6408" max="6408" width="14.5703125" style="51" customWidth="1"/>
    <col min="6409" max="6409" width="17.7109375" style="51" customWidth="1"/>
    <col min="6410" max="6410" width="19.7109375" style="51" customWidth="1"/>
    <col min="6411" max="6656" width="11.5703125" style="51"/>
    <col min="6657" max="6657" width="3.7109375" style="51" customWidth="1"/>
    <col min="6658" max="6659" width="10.7109375" style="51" customWidth="1"/>
    <col min="6660" max="6663" width="9.28515625" style="51" customWidth="1"/>
    <col min="6664" max="6664" width="14.5703125" style="51" customWidth="1"/>
    <col min="6665" max="6665" width="17.7109375" style="51" customWidth="1"/>
    <col min="6666" max="6666" width="19.7109375" style="51" customWidth="1"/>
    <col min="6667" max="6912" width="11.5703125" style="51"/>
    <col min="6913" max="6913" width="3.7109375" style="51" customWidth="1"/>
    <col min="6914" max="6915" width="10.7109375" style="51" customWidth="1"/>
    <col min="6916" max="6919" width="9.28515625" style="51" customWidth="1"/>
    <col min="6920" max="6920" width="14.5703125" style="51" customWidth="1"/>
    <col min="6921" max="6921" width="17.7109375" style="51" customWidth="1"/>
    <col min="6922" max="6922" width="19.7109375" style="51" customWidth="1"/>
    <col min="6923" max="7168" width="11.5703125" style="51"/>
    <col min="7169" max="7169" width="3.7109375" style="51" customWidth="1"/>
    <col min="7170" max="7171" width="10.7109375" style="51" customWidth="1"/>
    <col min="7172" max="7175" width="9.28515625" style="51" customWidth="1"/>
    <col min="7176" max="7176" width="14.5703125" style="51" customWidth="1"/>
    <col min="7177" max="7177" width="17.7109375" style="51" customWidth="1"/>
    <col min="7178" max="7178" width="19.7109375" style="51" customWidth="1"/>
    <col min="7179" max="7424" width="11.5703125" style="51"/>
    <col min="7425" max="7425" width="3.7109375" style="51" customWidth="1"/>
    <col min="7426" max="7427" width="10.7109375" style="51" customWidth="1"/>
    <col min="7428" max="7431" width="9.28515625" style="51" customWidth="1"/>
    <col min="7432" max="7432" width="14.5703125" style="51" customWidth="1"/>
    <col min="7433" max="7433" width="17.7109375" style="51" customWidth="1"/>
    <col min="7434" max="7434" width="19.7109375" style="51" customWidth="1"/>
    <col min="7435" max="7680" width="11.5703125" style="51"/>
    <col min="7681" max="7681" width="3.7109375" style="51" customWidth="1"/>
    <col min="7682" max="7683" width="10.7109375" style="51" customWidth="1"/>
    <col min="7684" max="7687" width="9.28515625" style="51" customWidth="1"/>
    <col min="7688" max="7688" width="14.5703125" style="51" customWidth="1"/>
    <col min="7689" max="7689" width="17.7109375" style="51" customWidth="1"/>
    <col min="7690" max="7690" width="19.7109375" style="51" customWidth="1"/>
    <col min="7691" max="7936" width="11.5703125" style="51"/>
    <col min="7937" max="7937" width="3.7109375" style="51" customWidth="1"/>
    <col min="7938" max="7939" width="10.7109375" style="51" customWidth="1"/>
    <col min="7940" max="7943" width="9.28515625" style="51" customWidth="1"/>
    <col min="7944" max="7944" width="14.5703125" style="51" customWidth="1"/>
    <col min="7945" max="7945" width="17.7109375" style="51" customWidth="1"/>
    <col min="7946" max="7946" width="19.7109375" style="51" customWidth="1"/>
    <col min="7947" max="8192" width="11.5703125" style="51"/>
    <col min="8193" max="8193" width="3.7109375" style="51" customWidth="1"/>
    <col min="8194" max="8195" width="10.7109375" style="51" customWidth="1"/>
    <col min="8196" max="8199" width="9.28515625" style="51" customWidth="1"/>
    <col min="8200" max="8200" width="14.5703125" style="51" customWidth="1"/>
    <col min="8201" max="8201" width="17.7109375" style="51" customWidth="1"/>
    <col min="8202" max="8202" width="19.7109375" style="51" customWidth="1"/>
    <col min="8203" max="8448" width="11.5703125" style="51"/>
    <col min="8449" max="8449" width="3.7109375" style="51" customWidth="1"/>
    <col min="8450" max="8451" width="10.7109375" style="51" customWidth="1"/>
    <col min="8452" max="8455" width="9.28515625" style="51" customWidth="1"/>
    <col min="8456" max="8456" width="14.5703125" style="51" customWidth="1"/>
    <col min="8457" max="8457" width="17.7109375" style="51" customWidth="1"/>
    <col min="8458" max="8458" width="19.7109375" style="51" customWidth="1"/>
    <col min="8459" max="8704" width="11.5703125" style="51"/>
    <col min="8705" max="8705" width="3.7109375" style="51" customWidth="1"/>
    <col min="8706" max="8707" width="10.7109375" style="51" customWidth="1"/>
    <col min="8708" max="8711" width="9.28515625" style="51" customWidth="1"/>
    <col min="8712" max="8712" width="14.5703125" style="51" customWidth="1"/>
    <col min="8713" max="8713" width="17.7109375" style="51" customWidth="1"/>
    <col min="8714" max="8714" width="19.7109375" style="51" customWidth="1"/>
    <col min="8715" max="8960" width="11.5703125" style="51"/>
    <col min="8961" max="8961" width="3.7109375" style="51" customWidth="1"/>
    <col min="8962" max="8963" width="10.7109375" style="51" customWidth="1"/>
    <col min="8964" max="8967" width="9.28515625" style="51" customWidth="1"/>
    <col min="8968" max="8968" width="14.5703125" style="51" customWidth="1"/>
    <col min="8969" max="8969" width="17.7109375" style="51" customWidth="1"/>
    <col min="8970" max="8970" width="19.7109375" style="51" customWidth="1"/>
    <col min="8971" max="9216" width="11.5703125" style="51"/>
    <col min="9217" max="9217" width="3.7109375" style="51" customWidth="1"/>
    <col min="9218" max="9219" width="10.7109375" style="51" customWidth="1"/>
    <col min="9220" max="9223" width="9.28515625" style="51" customWidth="1"/>
    <col min="9224" max="9224" width="14.5703125" style="51" customWidth="1"/>
    <col min="9225" max="9225" width="17.7109375" style="51" customWidth="1"/>
    <col min="9226" max="9226" width="19.7109375" style="51" customWidth="1"/>
    <col min="9227" max="9472" width="11.5703125" style="51"/>
    <col min="9473" max="9473" width="3.7109375" style="51" customWidth="1"/>
    <col min="9474" max="9475" width="10.7109375" style="51" customWidth="1"/>
    <col min="9476" max="9479" width="9.28515625" style="51" customWidth="1"/>
    <col min="9480" max="9480" width="14.5703125" style="51" customWidth="1"/>
    <col min="9481" max="9481" width="17.7109375" style="51" customWidth="1"/>
    <col min="9482" max="9482" width="19.7109375" style="51" customWidth="1"/>
    <col min="9483" max="9728" width="11.5703125" style="51"/>
    <col min="9729" max="9729" width="3.7109375" style="51" customWidth="1"/>
    <col min="9730" max="9731" width="10.7109375" style="51" customWidth="1"/>
    <col min="9732" max="9735" width="9.28515625" style="51" customWidth="1"/>
    <col min="9736" max="9736" width="14.5703125" style="51" customWidth="1"/>
    <col min="9737" max="9737" width="17.7109375" style="51" customWidth="1"/>
    <col min="9738" max="9738" width="19.7109375" style="51" customWidth="1"/>
    <col min="9739" max="9984" width="11.5703125" style="51"/>
    <col min="9985" max="9985" width="3.7109375" style="51" customWidth="1"/>
    <col min="9986" max="9987" width="10.7109375" style="51" customWidth="1"/>
    <col min="9988" max="9991" width="9.28515625" style="51" customWidth="1"/>
    <col min="9992" max="9992" width="14.5703125" style="51" customWidth="1"/>
    <col min="9993" max="9993" width="17.7109375" style="51" customWidth="1"/>
    <col min="9994" max="9994" width="19.7109375" style="51" customWidth="1"/>
    <col min="9995" max="10240" width="11.5703125" style="51"/>
    <col min="10241" max="10241" width="3.7109375" style="51" customWidth="1"/>
    <col min="10242" max="10243" width="10.7109375" style="51" customWidth="1"/>
    <col min="10244" max="10247" width="9.28515625" style="51" customWidth="1"/>
    <col min="10248" max="10248" width="14.5703125" style="51" customWidth="1"/>
    <col min="10249" max="10249" width="17.7109375" style="51" customWidth="1"/>
    <col min="10250" max="10250" width="19.7109375" style="51" customWidth="1"/>
    <col min="10251" max="10496" width="11.5703125" style="51"/>
    <col min="10497" max="10497" width="3.7109375" style="51" customWidth="1"/>
    <col min="10498" max="10499" width="10.7109375" style="51" customWidth="1"/>
    <col min="10500" max="10503" width="9.28515625" style="51" customWidth="1"/>
    <col min="10504" max="10504" width="14.5703125" style="51" customWidth="1"/>
    <col min="10505" max="10505" width="17.7109375" style="51" customWidth="1"/>
    <col min="10506" max="10506" width="19.7109375" style="51" customWidth="1"/>
    <col min="10507" max="10752" width="11.5703125" style="51"/>
    <col min="10753" max="10753" width="3.7109375" style="51" customWidth="1"/>
    <col min="10754" max="10755" width="10.7109375" style="51" customWidth="1"/>
    <col min="10756" max="10759" width="9.28515625" style="51" customWidth="1"/>
    <col min="10760" max="10760" width="14.5703125" style="51" customWidth="1"/>
    <col min="10761" max="10761" width="17.7109375" style="51" customWidth="1"/>
    <col min="10762" max="10762" width="19.7109375" style="51" customWidth="1"/>
    <col min="10763" max="11008" width="11.5703125" style="51"/>
    <col min="11009" max="11009" width="3.7109375" style="51" customWidth="1"/>
    <col min="11010" max="11011" width="10.7109375" style="51" customWidth="1"/>
    <col min="11012" max="11015" width="9.28515625" style="51" customWidth="1"/>
    <col min="11016" max="11016" width="14.5703125" style="51" customWidth="1"/>
    <col min="11017" max="11017" width="17.7109375" style="51" customWidth="1"/>
    <col min="11018" max="11018" width="19.7109375" style="51" customWidth="1"/>
    <col min="11019" max="11264" width="11.5703125" style="51"/>
    <col min="11265" max="11265" width="3.7109375" style="51" customWidth="1"/>
    <col min="11266" max="11267" width="10.7109375" style="51" customWidth="1"/>
    <col min="11268" max="11271" width="9.28515625" style="51" customWidth="1"/>
    <col min="11272" max="11272" width="14.5703125" style="51" customWidth="1"/>
    <col min="11273" max="11273" width="17.7109375" style="51" customWidth="1"/>
    <col min="11274" max="11274" width="19.7109375" style="51" customWidth="1"/>
    <col min="11275" max="11520" width="11.5703125" style="51"/>
    <col min="11521" max="11521" width="3.7109375" style="51" customWidth="1"/>
    <col min="11522" max="11523" width="10.7109375" style="51" customWidth="1"/>
    <col min="11524" max="11527" width="9.28515625" style="51" customWidth="1"/>
    <col min="11528" max="11528" width="14.5703125" style="51" customWidth="1"/>
    <col min="11529" max="11529" width="17.7109375" style="51" customWidth="1"/>
    <col min="11530" max="11530" width="19.7109375" style="51" customWidth="1"/>
    <col min="11531" max="11776" width="11.5703125" style="51"/>
    <col min="11777" max="11777" width="3.7109375" style="51" customWidth="1"/>
    <col min="11778" max="11779" width="10.7109375" style="51" customWidth="1"/>
    <col min="11780" max="11783" width="9.28515625" style="51" customWidth="1"/>
    <col min="11784" max="11784" width="14.5703125" style="51" customWidth="1"/>
    <col min="11785" max="11785" width="17.7109375" style="51" customWidth="1"/>
    <col min="11786" max="11786" width="19.7109375" style="51" customWidth="1"/>
    <col min="11787" max="12032" width="11.5703125" style="51"/>
    <col min="12033" max="12033" width="3.7109375" style="51" customWidth="1"/>
    <col min="12034" max="12035" width="10.7109375" style="51" customWidth="1"/>
    <col min="12036" max="12039" width="9.28515625" style="51" customWidth="1"/>
    <col min="12040" max="12040" width="14.5703125" style="51" customWidth="1"/>
    <col min="12041" max="12041" width="17.7109375" style="51" customWidth="1"/>
    <col min="12042" max="12042" width="19.7109375" style="51" customWidth="1"/>
    <col min="12043" max="12288" width="11.5703125" style="51"/>
    <col min="12289" max="12289" width="3.7109375" style="51" customWidth="1"/>
    <col min="12290" max="12291" width="10.7109375" style="51" customWidth="1"/>
    <col min="12292" max="12295" width="9.28515625" style="51" customWidth="1"/>
    <col min="12296" max="12296" width="14.5703125" style="51" customWidth="1"/>
    <col min="12297" max="12297" width="17.7109375" style="51" customWidth="1"/>
    <col min="12298" max="12298" width="19.7109375" style="51" customWidth="1"/>
    <col min="12299" max="12544" width="11.5703125" style="51"/>
    <col min="12545" max="12545" width="3.7109375" style="51" customWidth="1"/>
    <col min="12546" max="12547" width="10.7109375" style="51" customWidth="1"/>
    <col min="12548" max="12551" width="9.28515625" style="51" customWidth="1"/>
    <col min="12552" max="12552" width="14.5703125" style="51" customWidth="1"/>
    <col min="12553" max="12553" width="17.7109375" style="51" customWidth="1"/>
    <col min="12554" max="12554" width="19.7109375" style="51" customWidth="1"/>
    <col min="12555" max="12800" width="11.5703125" style="51"/>
    <col min="12801" max="12801" width="3.7109375" style="51" customWidth="1"/>
    <col min="12802" max="12803" width="10.7109375" style="51" customWidth="1"/>
    <col min="12804" max="12807" width="9.28515625" style="51" customWidth="1"/>
    <col min="12808" max="12808" width="14.5703125" style="51" customWidth="1"/>
    <col min="12809" max="12809" width="17.7109375" style="51" customWidth="1"/>
    <col min="12810" max="12810" width="19.7109375" style="51" customWidth="1"/>
    <col min="12811" max="13056" width="11.5703125" style="51"/>
    <col min="13057" max="13057" width="3.7109375" style="51" customWidth="1"/>
    <col min="13058" max="13059" width="10.7109375" style="51" customWidth="1"/>
    <col min="13060" max="13063" width="9.28515625" style="51" customWidth="1"/>
    <col min="13064" max="13064" width="14.5703125" style="51" customWidth="1"/>
    <col min="13065" max="13065" width="17.7109375" style="51" customWidth="1"/>
    <col min="13066" max="13066" width="19.7109375" style="51" customWidth="1"/>
    <col min="13067" max="13312" width="11.5703125" style="51"/>
    <col min="13313" max="13313" width="3.7109375" style="51" customWidth="1"/>
    <col min="13314" max="13315" width="10.7109375" style="51" customWidth="1"/>
    <col min="13316" max="13319" width="9.28515625" style="51" customWidth="1"/>
    <col min="13320" max="13320" width="14.5703125" style="51" customWidth="1"/>
    <col min="13321" max="13321" width="17.7109375" style="51" customWidth="1"/>
    <col min="13322" max="13322" width="19.7109375" style="51" customWidth="1"/>
    <col min="13323" max="13568" width="11.5703125" style="51"/>
    <col min="13569" max="13569" width="3.7109375" style="51" customWidth="1"/>
    <col min="13570" max="13571" width="10.7109375" style="51" customWidth="1"/>
    <col min="13572" max="13575" width="9.28515625" style="51" customWidth="1"/>
    <col min="13576" max="13576" width="14.5703125" style="51" customWidth="1"/>
    <col min="13577" max="13577" width="17.7109375" style="51" customWidth="1"/>
    <col min="13578" max="13578" width="19.7109375" style="51" customWidth="1"/>
    <col min="13579" max="13824" width="11.5703125" style="51"/>
    <col min="13825" max="13825" width="3.7109375" style="51" customWidth="1"/>
    <col min="13826" max="13827" width="10.7109375" style="51" customWidth="1"/>
    <col min="13828" max="13831" width="9.28515625" style="51" customWidth="1"/>
    <col min="13832" max="13832" width="14.5703125" style="51" customWidth="1"/>
    <col min="13833" max="13833" width="17.7109375" style="51" customWidth="1"/>
    <col min="13834" max="13834" width="19.7109375" style="51" customWidth="1"/>
    <col min="13835" max="14080" width="11.5703125" style="51"/>
    <col min="14081" max="14081" width="3.7109375" style="51" customWidth="1"/>
    <col min="14082" max="14083" width="10.7109375" style="51" customWidth="1"/>
    <col min="14084" max="14087" width="9.28515625" style="51" customWidth="1"/>
    <col min="14088" max="14088" width="14.5703125" style="51" customWidth="1"/>
    <col min="14089" max="14089" width="17.7109375" style="51" customWidth="1"/>
    <col min="14090" max="14090" width="19.7109375" style="51" customWidth="1"/>
    <col min="14091" max="14336" width="11.5703125" style="51"/>
    <col min="14337" max="14337" width="3.7109375" style="51" customWidth="1"/>
    <col min="14338" max="14339" width="10.7109375" style="51" customWidth="1"/>
    <col min="14340" max="14343" width="9.28515625" style="51" customWidth="1"/>
    <col min="14344" max="14344" width="14.5703125" style="51" customWidth="1"/>
    <col min="14345" max="14345" width="17.7109375" style="51" customWidth="1"/>
    <col min="14346" max="14346" width="19.7109375" style="51" customWidth="1"/>
    <col min="14347" max="14592" width="11.5703125" style="51"/>
    <col min="14593" max="14593" width="3.7109375" style="51" customWidth="1"/>
    <col min="14594" max="14595" width="10.7109375" style="51" customWidth="1"/>
    <col min="14596" max="14599" width="9.28515625" style="51" customWidth="1"/>
    <col min="14600" max="14600" width="14.5703125" style="51" customWidth="1"/>
    <col min="14601" max="14601" width="17.7109375" style="51" customWidth="1"/>
    <col min="14602" max="14602" width="19.7109375" style="51" customWidth="1"/>
    <col min="14603" max="14848" width="11.5703125" style="51"/>
    <col min="14849" max="14849" width="3.7109375" style="51" customWidth="1"/>
    <col min="14850" max="14851" width="10.7109375" style="51" customWidth="1"/>
    <col min="14852" max="14855" width="9.28515625" style="51" customWidth="1"/>
    <col min="14856" max="14856" width="14.5703125" style="51" customWidth="1"/>
    <col min="14857" max="14857" width="17.7109375" style="51" customWidth="1"/>
    <col min="14858" max="14858" width="19.7109375" style="51" customWidth="1"/>
    <col min="14859" max="15104" width="11.5703125" style="51"/>
    <col min="15105" max="15105" width="3.7109375" style="51" customWidth="1"/>
    <col min="15106" max="15107" width="10.7109375" style="51" customWidth="1"/>
    <col min="15108" max="15111" width="9.28515625" style="51" customWidth="1"/>
    <col min="15112" max="15112" width="14.5703125" style="51" customWidth="1"/>
    <col min="15113" max="15113" width="17.7109375" style="51" customWidth="1"/>
    <col min="15114" max="15114" width="19.7109375" style="51" customWidth="1"/>
    <col min="15115" max="15360" width="11.5703125" style="51"/>
    <col min="15361" max="15361" width="3.7109375" style="51" customWidth="1"/>
    <col min="15362" max="15363" width="10.7109375" style="51" customWidth="1"/>
    <col min="15364" max="15367" width="9.28515625" style="51" customWidth="1"/>
    <col min="15368" max="15368" width="14.5703125" style="51" customWidth="1"/>
    <col min="15369" max="15369" width="17.7109375" style="51" customWidth="1"/>
    <col min="15370" max="15370" width="19.7109375" style="51" customWidth="1"/>
    <col min="15371" max="15616" width="11.5703125" style="51"/>
    <col min="15617" max="15617" width="3.7109375" style="51" customWidth="1"/>
    <col min="15618" max="15619" width="10.7109375" style="51" customWidth="1"/>
    <col min="15620" max="15623" width="9.28515625" style="51" customWidth="1"/>
    <col min="15624" max="15624" width="14.5703125" style="51" customWidth="1"/>
    <col min="15625" max="15625" width="17.7109375" style="51" customWidth="1"/>
    <col min="15626" max="15626" width="19.7109375" style="51" customWidth="1"/>
    <col min="15627" max="15872" width="11.5703125" style="51"/>
    <col min="15873" max="15873" width="3.7109375" style="51" customWidth="1"/>
    <col min="15874" max="15875" width="10.7109375" style="51" customWidth="1"/>
    <col min="15876" max="15879" width="9.28515625" style="51" customWidth="1"/>
    <col min="15880" max="15880" width="14.5703125" style="51" customWidth="1"/>
    <col min="15881" max="15881" width="17.7109375" style="51" customWidth="1"/>
    <col min="15882" max="15882" width="19.7109375" style="51" customWidth="1"/>
    <col min="15883" max="16128" width="11.5703125" style="51"/>
    <col min="16129" max="16129" width="3.7109375" style="51" customWidth="1"/>
    <col min="16130" max="16131" width="10.7109375" style="51" customWidth="1"/>
    <col min="16132" max="16135" width="9.28515625" style="51" customWidth="1"/>
    <col min="16136" max="16136" width="14.5703125" style="51" customWidth="1"/>
    <col min="16137" max="16137" width="17.7109375" style="51" customWidth="1"/>
    <col min="16138" max="16138" width="19.7109375" style="51" customWidth="1"/>
    <col min="16139" max="16384" width="11.5703125" style="51"/>
  </cols>
  <sheetData>
    <row r="1" spans="1:256" ht="12.75" customHeight="1" x14ac:dyDescent="0.2">
      <c r="C1" s="199" t="s">
        <v>295</v>
      </c>
      <c r="D1" s="199"/>
      <c r="E1" s="199"/>
      <c r="F1" s="199"/>
      <c r="G1" s="199"/>
      <c r="H1" s="199"/>
      <c r="I1" s="199"/>
    </row>
    <row r="2" spans="1:256" x14ac:dyDescent="0.2">
      <c r="F2" s="51"/>
      <c r="G2" s="51"/>
      <c r="H2" s="51"/>
      <c r="I2" s="51"/>
    </row>
    <row r="3" spans="1:256" x14ac:dyDescent="0.2">
      <c r="F3" s="51"/>
      <c r="G3" s="51"/>
      <c r="H3" s="51"/>
      <c r="I3" s="51"/>
    </row>
    <row r="4" spans="1:256" s="52" customFormat="1" ht="15.75" x14ac:dyDescent="0.25">
      <c r="A4" s="92" t="s">
        <v>230</v>
      </c>
      <c r="B4" s="93"/>
      <c r="C4" s="94"/>
      <c r="G4" s="92" t="s">
        <v>231</v>
      </c>
      <c r="H4"/>
    </row>
    <row r="5" spans="1:256" s="52" customFormat="1" ht="15.75" x14ac:dyDescent="0.25">
      <c r="A5" s="95" t="s">
        <v>232</v>
      </c>
      <c r="B5" s="96"/>
      <c r="C5" s="94"/>
      <c r="G5" s="95" t="s">
        <v>233</v>
      </c>
      <c r="H5"/>
    </row>
    <row r="6" spans="1:256" s="52" customFormat="1" ht="15.75" x14ac:dyDescent="0.25">
      <c r="A6" s="97" t="s">
        <v>4</v>
      </c>
      <c r="B6" s="98"/>
      <c r="C6" s="20"/>
      <c r="G6" s="97" t="s">
        <v>183</v>
      </c>
      <c r="H6" s="99"/>
    </row>
    <row r="7" spans="1:256" s="52" customFormat="1" ht="15.75" x14ac:dyDescent="0.25">
      <c r="A7" s="97" t="s">
        <v>235</v>
      </c>
      <c r="B7" s="98"/>
      <c r="C7" s="100"/>
      <c r="G7" s="97" t="s">
        <v>5</v>
      </c>
      <c r="H7" s="101"/>
    </row>
    <row r="8" spans="1:256" s="52" customFormat="1" ht="15.75" x14ac:dyDescent="0.25">
      <c r="A8"/>
      <c r="B8" s="102"/>
      <c r="C8"/>
      <c r="G8" s="97"/>
      <c r="H8" s="99"/>
    </row>
    <row r="9" spans="1:256" s="52" customFormat="1" ht="15.75" x14ac:dyDescent="0.25">
      <c r="A9" s="97" t="s">
        <v>236</v>
      </c>
      <c r="B9" s="98"/>
      <c r="C9" s="1"/>
      <c r="G9" s="97" t="s">
        <v>237</v>
      </c>
      <c r="H9" s="99"/>
    </row>
    <row r="10" spans="1:256" s="52" customFormat="1" ht="15.75" x14ac:dyDescent="0.25">
      <c r="A10" s="97" t="s">
        <v>296</v>
      </c>
      <c r="B10" s="98"/>
      <c r="C10" s="1"/>
      <c r="G10" s="97" t="s">
        <v>296</v>
      </c>
      <c r="H10" s="98"/>
      <c r="I10" s="54"/>
    </row>
    <row r="11" spans="1:256" s="52" customFormat="1" ht="11.25" customHeight="1" x14ac:dyDescent="0.25">
      <c r="A11" s="2"/>
      <c r="D11" s="53"/>
      <c r="E11" s="54"/>
    </row>
    <row r="12" spans="1:256" ht="15.75" x14ac:dyDescent="0.2">
      <c r="A12" s="200" t="s">
        <v>187</v>
      </c>
      <c r="B12" s="200"/>
      <c r="C12" s="200"/>
      <c r="D12" s="200"/>
      <c r="E12" s="200"/>
      <c r="F12" s="200"/>
      <c r="G12" s="200"/>
      <c r="H12" s="200"/>
      <c r="I12" s="200"/>
    </row>
    <row r="13" spans="1:256" ht="15.75" customHeight="1" x14ac:dyDescent="0.2">
      <c r="A13" s="201" t="s">
        <v>159</v>
      </c>
      <c r="B13" s="202"/>
      <c r="C13" s="202"/>
      <c r="D13" s="202"/>
      <c r="E13" s="202"/>
      <c r="F13" s="202"/>
      <c r="G13" s="202"/>
      <c r="H13" s="202"/>
      <c r="I13" s="202"/>
    </row>
    <row r="14" spans="1:256" x14ac:dyDescent="0.2">
      <c r="A14" s="55"/>
      <c r="B14" s="56"/>
      <c r="C14" s="57"/>
      <c r="D14" s="57"/>
      <c r="E14" s="57"/>
      <c r="F14" s="56"/>
      <c r="G14" s="56"/>
      <c r="H14" s="56"/>
      <c r="I14" s="56"/>
      <c r="J14" s="56"/>
      <c r="K14" s="56"/>
      <c r="L14" s="56"/>
      <c r="M14" s="56"/>
      <c r="N14" s="56"/>
      <c r="O14" s="56"/>
      <c r="P14" s="56"/>
      <c r="Q14" s="56"/>
      <c r="R14" s="56"/>
      <c r="S14" s="56"/>
      <c r="T14" s="56"/>
      <c r="U14" s="56"/>
      <c r="V14" s="56"/>
      <c r="W14" s="56"/>
      <c r="X14" s="56"/>
      <c r="Y14" s="56"/>
      <c r="Z14" s="56"/>
      <c r="AA14" s="56"/>
      <c r="AB14" s="56"/>
      <c r="AC14" s="56"/>
      <c r="AD14" s="56"/>
      <c r="AE14" s="56"/>
      <c r="AF14" s="56"/>
      <c r="AG14" s="56"/>
      <c r="AH14" s="56"/>
      <c r="AI14" s="56"/>
      <c r="AJ14" s="56"/>
      <c r="AK14" s="56"/>
      <c r="AL14" s="56"/>
      <c r="AM14" s="56"/>
      <c r="AN14" s="56"/>
      <c r="AO14" s="56"/>
      <c r="AP14" s="56"/>
      <c r="AQ14" s="56"/>
      <c r="AR14" s="56"/>
      <c r="AS14" s="56"/>
      <c r="AT14" s="56"/>
      <c r="AU14" s="56"/>
      <c r="AV14" s="56"/>
      <c r="AW14" s="56"/>
      <c r="AX14" s="56"/>
      <c r="AY14" s="56"/>
      <c r="AZ14" s="56"/>
      <c r="BA14" s="56"/>
      <c r="BB14" s="56"/>
      <c r="BC14" s="56"/>
      <c r="BD14" s="56"/>
      <c r="BE14" s="56"/>
      <c r="BF14" s="56"/>
      <c r="BG14" s="56"/>
      <c r="BH14" s="56"/>
      <c r="BI14" s="56"/>
      <c r="BJ14" s="56"/>
      <c r="BK14" s="56"/>
      <c r="BL14" s="56"/>
      <c r="BM14" s="56"/>
      <c r="BN14" s="56"/>
      <c r="BO14" s="56"/>
      <c r="BP14" s="56"/>
      <c r="BQ14" s="56"/>
      <c r="BR14" s="56"/>
      <c r="BS14" s="56"/>
      <c r="BT14" s="56"/>
      <c r="BU14" s="56"/>
      <c r="BV14" s="56"/>
      <c r="BW14" s="56"/>
      <c r="BX14" s="56"/>
      <c r="BY14" s="56"/>
      <c r="BZ14" s="56"/>
      <c r="CA14" s="56"/>
      <c r="CB14" s="56"/>
      <c r="CC14" s="56"/>
      <c r="CD14" s="56"/>
      <c r="CE14" s="56"/>
      <c r="CF14" s="56"/>
      <c r="CG14" s="56"/>
      <c r="CH14" s="56"/>
      <c r="CI14" s="56"/>
      <c r="CJ14" s="56"/>
      <c r="CK14" s="56"/>
      <c r="CL14" s="56"/>
      <c r="CM14" s="56"/>
      <c r="CN14" s="56"/>
      <c r="CO14" s="56"/>
      <c r="CP14" s="56"/>
      <c r="CQ14" s="56"/>
      <c r="CR14" s="56"/>
      <c r="CS14" s="56"/>
      <c r="CT14" s="56"/>
      <c r="CU14" s="56"/>
      <c r="CV14" s="56"/>
      <c r="CW14" s="56"/>
      <c r="CX14" s="56"/>
      <c r="CY14" s="56"/>
      <c r="CZ14" s="56"/>
      <c r="DA14" s="56"/>
      <c r="DB14" s="56"/>
      <c r="DC14" s="56"/>
      <c r="DD14" s="56"/>
      <c r="DE14" s="56"/>
      <c r="DF14" s="56"/>
      <c r="DG14" s="56"/>
      <c r="DH14" s="56"/>
      <c r="DI14" s="56"/>
      <c r="DJ14" s="56"/>
      <c r="DK14" s="56"/>
      <c r="DL14" s="56"/>
      <c r="DM14" s="56"/>
      <c r="DN14" s="56"/>
      <c r="DO14" s="56"/>
      <c r="DP14" s="56"/>
      <c r="DQ14" s="56"/>
      <c r="DR14" s="56"/>
      <c r="DS14" s="56"/>
      <c r="DT14" s="56"/>
      <c r="DU14" s="56"/>
      <c r="DV14" s="56"/>
      <c r="DW14" s="56"/>
      <c r="DX14" s="56"/>
      <c r="DY14" s="56"/>
      <c r="DZ14" s="56"/>
      <c r="EA14" s="56"/>
      <c r="EB14" s="56"/>
      <c r="EC14" s="56"/>
      <c r="ED14" s="56"/>
      <c r="EE14" s="56"/>
      <c r="EF14" s="56"/>
      <c r="EG14" s="56"/>
      <c r="EH14" s="56"/>
      <c r="EI14" s="56"/>
      <c r="EJ14" s="56"/>
      <c r="EK14" s="56"/>
      <c r="EL14" s="56"/>
      <c r="EM14" s="56"/>
      <c r="EN14" s="56"/>
      <c r="EO14" s="56"/>
      <c r="EP14" s="56"/>
      <c r="EQ14" s="56"/>
      <c r="ER14" s="56"/>
      <c r="ES14" s="56"/>
      <c r="ET14" s="56"/>
      <c r="EU14" s="56"/>
      <c r="EV14" s="56"/>
      <c r="EW14" s="56"/>
      <c r="EX14" s="56"/>
      <c r="EY14" s="56"/>
      <c r="EZ14" s="56"/>
      <c r="FA14" s="56"/>
      <c r="FB14" s="56"/>
      <c r="FC14" s="56"/>
      <c r="FD14" s="56"/>
      <c r="FE14" s="56"/>
      <c r="FF14" s="56"/>
      <c r="FG14" s="56"/>
      <c r="FH14" s="56"/>
      <c r="FI14" s="56"/>
      <c r="FJ14" s="56"/>
      <c r="FK14" s="56"/>
      <c r="FL14" s="56"/>
      <c r="FM14" s="56"/>
      <c r="FN14" s="56"/>
      <c r="FO14" s="56"/>
      <c r="FP14" s="56"/>
      <c r="FQ14" s="56"/>
      <c r="FR14" s="56"/>
      <c r="FS14" s="56"/>
      <c r="FT14" s="56"/>
      <c r="FU14" s="56"/>
      <c r="FV14" s="56"/>
      <c r="FW14" s="56"/>
      <c r="FX14" s="56"/>
      <c r="FY14" s="56"/>
      <c r="FZ14" s="56"/>
      <c r="GA14" s="56"/>
      <c r="GB14" s="56"/>
      <c r="GC14" s="56"/>
      <c r="GD14" s="56"/>
      <c r="GE14" s="56"/>
      <c r="GF14" s="56"/>
      <c r="GG14" s="56"/>
      <c r="GH14" s="56"/>
      <c r="GI14" s="56"/>
      <c r="GJ14" s="56"/>
      <c r="GK14" s="56"/>
      <c r="GL14" s="56"/>
      <c r="GM14" s="56"/>
      <c r="GN14" s="56"/>
      <c r="GO14" s="56"/>
      <c r="GP14" s="56"/>
      <c r="GQ14" s="56"/>
      <c r="GR14" s="56"/>
      <c r="GS14" s="56"/>
      <c r="GT14" s="56"/>
      <c r="GU14" s="56"/>
      <c r="GV14" s="56"/>
      <c r="GW14" s="56"/>
      <c r="GX14" s="56"/>
      <c r="GY14" s="56"/>
      <c r="GZ14" s="56"/>
      <c r="HA14" s="56"/>
      <c r="HB14" s="56"/>
      <c r="HC14" s="56"/>
      <c r="HD14" s="56"/>
      <c r="HE14" s="56"/>
      <c r="HF14" s="56"/>
      <c r="HG14" s="56"/>
      <c r="HH14" s="56"/>
      <c r="HI14" s="56"/>
      <c r="HJ14" s="56"/>
      <c r="HK14" s="56"/>
      <c r="HL14" s="56"/>
      <c r="HM14" s="56"/>
      <c r="HN14" s="56"/>
      <c r="HO14" s="56"/>
      <c r="HP14" s="56"/>
      <c r="HQ14" s="56"/>
      <c r="HR14" s="56"/>
      <c r="HS14" s="56"/>
      <c r="HT14" s="56"/>
      <c r="HU14" s="56"/>
      <c r="HV14" s="56"/>
      <c r="HW14" s="56"/>
      <c r="HX14" s="56"/>
      <c r="HY14" s="56"/>
      <c r="HZ14" s="56"/>
      <c r="IA14" s="56"/>
      <c r="IB14" s="56"/>
      <c r="IC14" s="56"/>
      <c r="ID14" s="56"/>
      <c r="IE14" s="56"/>
      <c r="IF14" s="56"/>
      <c r="IG14" s="56"/>
      <c r="IH14" s="56"/>
      <c r="II14" s="56"/>
      <c r="IJ14" s="56"/>
      <c r="IK14" s="56"/>
      <c r="IL14" s="56"/>
      <c r="IM14" s="56"/>
      <c r="IN14" s="56"/>
      <c r="IO14" s="56"/>
      <c r="IP14" s="56"/>
      <c r="IQ14" s="56"/>
      <c r="IR14" s="56"/>
      <c r="IS14" s="56"/>
      <c r="IT14" s="56"/>
      <c r="IU14" s="56"/>
      <c r="IV14" s="56"/>
    </row>
    <row r="15" spans="1:256" ht="56.25" customHeight="1" x14ac:dyDescent="0.25">
      <c r="A15" s="203" t="s">
        <v>372</v>
      </c>
      <c r="B15" s="203"/>
      <c r="C15" s="203"/>
      <c r="D15" s="203"/>
      <c r="E15" s="203"/>
      <c r="F15" s="203"/>
      <c r="G15" s="203"/>
      <c r="H15" s="203"/>
      <c r="I15" s="203"/>
      <c r="J15" s="58"/>
      <c r="K15" s="56"/>
      <c r="L15" s="56"/>
      <c r="M15" s="56"/>
      <c r="N15" s="56"/>
      <c r="O15" s="56"/>
      <c r="P15" s="56"/>
      <c r="Q15" s="56"/>
      <c r="R15" s="56"/>
      <c r="S15" s="56"/>
      <c r="T15" s="56"/>
      <c r="U15" s="56"/>
      <c r="V15" s="56"/>
      <c r="W15" s="56"/>
      <c r="X15" s="56"/>
      <c r="Y15" s="56"/>
      <c r="Z15" s="56"/>
      <c r="AA15" s="56"/>
      <c r="AB15" s="56"/>
      <c r="AC15" s="56"/>
      <c r="AD15" s="56"/>
      <c r="AE15" s="56"/>
      <c r="AF15" s="56"/>
      <c r="AG15" s="56"/>
      <c r="AH15" s="56"/>
      <c r="AI15" s="56"/>
      <c r="AJ15" s="56"/>
      <c r="AK15" s="56"/>
      <c r="AL15" s="56"/>
      <c r="AM15" s="56"/>
      <c r="AN15" s="56"/>
      <c r="AO15" s="56"/>
      <c r="AP15" s="56"/>
      <c r="AQ15" s="56"/>
      <c r="AR15" s="56"/>
      <c r="AS15" s="56"/>
      <c r="AT15" s="56"/>
      <c r="AU15" s="56"/>
      <c r="AV15" s="56"/>
      <c r="AW15" s="56"/>
      <c r="AX15" s="56"/>
      <c r="AY15" s="56"/>
      <c r="AZ15" s="56"/>
      <c r="BA15" s="56"/>
      <c r="BB15" s="56"/>
      <c r="BC15" s="56"/>
      <c r="BD15" s="56"/>
      <c r="BE15" s="56"/>
      <c r="BF15" s="56"/>
      <c r="BG15" s="56"/>
      <c r="BH15" s="56"/>
      <c r="BI15" s="56"/>
      <c r="BJ15" s="56"/>
      <c r="BK15" s="56"/>
      <c r="BL15" s="56"/>
      <c r="BM15" s="56"/>
      <c r="BN15" s="56"/>
      <c r="BO15" s="56"/>
      <c r="BP15" s="56"/>
      <c r="BQ15" s="56"/>
      <c r="BR15" s="56"/>
      <c r="BS15" s="56"/>
      <c r="BT15" s="56"/>
      <c r="BU15" s="56"/>
      <c r="BV15" s="56"/>
      <c r="BW15" s="56"/>
      <c r="BX15" s="56"/>
      <c r="BY15" s="56"/>
      <c r="BZ15" s="56"/>
      <c r="CA15" s="56"/>
      <c r="CB15" s="56"/>
      <c r="CC15" s="56"/>
      <c r="CD15" s="56"/>
      <c r="CE15" s="56"/>
      <c r="CF15" s="56"/>
      <c r="CG15" s="56"/>
      <c r="CH15" s="56"/>
      <c r="CI15" s="56"/>
      <c r="CJ15" s="56"/>
      <c r="CK15" s="56"/>
      <c r="CL15" s="56"/>
      <c r="CM15" s="56"/>
      <c r="CN15" s="56"/>
      <c r="CO15" s="56"/>
      <c r="CP15" s="56"/>
      <c r="CQ15" s="56"/>
      <c r="CR15" s="56"/>
      <c r="CS15" s="56"/>
      <c r="CT15" s="56"/>
      <c r="CU15" s="56"/>
      <c r="CV15" s="56"/>
      <c r="CW15" s="56"/>
      <c r="CX15" s="56"/>
      <c r="CY15" s="56"/>
      <c r="CZ15" s="56"/>
      <c r="DA15" s="56"/>
      <c r="DB15" s="56"/>
      <c r="DC15" s="56"/>
      <c r="DD15" s="56"/>
      <c r="DE15" s="56"/>
      <c r="DF15" s="56"/>
      <c r="DG15" s="56"/>
      <c r="DH15" s="56"/>
      <c r="DI15" s="56"/>
      <c r="DJ15" s="56"/>
      <c r="DK15" s="56"/>
      <c r="DL15" s="56"/>
      <c r="DM15" s="56"/>
      <c r="DN15" s="56"/>
      <c r="DO15" s="56"/>
      <c r="DP15" s="56"/>
      <c r="DQ15" s="56"/>
      <c r="DR15" s="56"/>
      <c r="DS15" s="56"/>
      <c r="DT15" s="56"/>
      <c r="DU15" s="56"/>
      <c r="DV15" s="56"/>
      <c r="DW15" s="56"/>
      <c r="DX15" s="56"/>
      <c r="DY15" s="56"/>
      <c r="DZ15" s="56"/>
      <c r="EA15" s="56"/>
      <c r="EB15" s="56"/>
      <c r="EC15" s="56"/>
      <c r="ED15" s="56"/>
      <c r="EE15" s="56"/>
      <c r="EF15" s="56"/>
      <c r="EG15" s="56"/>
      <c r="EH15" s="56"/>
      <c r="EI15" s="56"/>
      <c r="EJ15" s="56"/>
      <c r="EK15" s="56"/>
      <c r="EL15" s="56"/>
      <c r="EM15" s="56"/>
      <c r="EN15" s="56"/>
      <c r="EO15" s="56"/>
      <c r="EP15" s="56"/>
      <c r="EQ15" s="56"/>
      <c r="ER15" s="56"/>
      <c r="ES15" s="56"/>
      <c r="ET15" s="56"/>
      <c r="EU15" s="56"/>
      <c r="EV15" s="56"/>
      <c r="EW15" s="56"/>
      <c r="EX15" s="56"/>
      <c r="EY15" s="56"/>
      <c r="EZ15" s="56"/>
      <c r="FA15" s="56"/>
      <c r="FB15" s="56"/>
      <c r="FC15" s="56"/>
      <c r="FD15" s="56"/>
      <c r="FE15" s="56"/>
      <c r="FF15" s="56"/>
      <c r="FG15" s="56"/>
      <c r="FH15" s="56"/>
      <c r="FI15" s="56"/>
      <c r="FJ15" s="56"/>
      <c r="FK15" s="56"/>
      <c r="FL15" s="56"/>
      <c r="FM15" s="56"/>
      <c r="FN15" s="56"/>
      <c r="FO15" s="56"/>
      <c r="FP15" s="56"/>
      <c r="FQ15" s="56"/>
      <c r="FR15" s="56"/>
      <c r="FS15" s="56"/>
      <c r="FT15" s="56"/>
      <c r="FU15" s="56"/>
      <c r="FV15" s="56"/>
      <c r="FW15" s="56"/>
      <c r="FX15" s="56"/>
      <c r="FY15" s="56"/>
      <c r="FZ15" s="56"/>
      <c r="GA15" s="56"/>
      <c r="GB15" s="56"/>
      <c r="GC15" s="56"/>
      <c r="GD15" s="56"/>
      <c r="GE15" s="56"/>
      <c r="GF15" s="56"/>
      <c r="GG15" s="56"/>
      <c r="GH15" s="56"/>
      <c r="GI15" s="56"/>
      <c r="GJ15" s="56"/>
      <c r="GK15" s="56"/>
      <c r="GL15" s="56"/>
      <c r="GM15" s="56"/>
      <c r="GN15" s="56"/>
      <c r="GO15" s="56"/>
      <c r="GP15" s="56"/>
      <c r="GQ15" s="56"/>
      <c r="GR15" s="56"/>
      <c r="GS15" s="56"/>
      <c r="GT15" s="56"/>
      <c r="GU15" s="56"/>
      <c r="GV15" s="56"/>
      <c r="GW15" s="56"/>
      <c r="GX15" s="56"/>
      <c r="GY15" s="56"/>
      <c r="GZ15" s="56"/>
      <c r="HA15" s="56"/>
      <c r="HB15" s="56"/>
      <c r="HC15" s="56"/>
      <c r="HD15" s="56"/>
      <c r="HE15" s="56"/>
      <c r="HF15" s="56"/>
      <c r="HG15" s="56"/>
      <c r="HH15" s="56"/>
      <c r="HI15" s="56"/>
      <c r="HJ15" s="56"/>
      <c r="HK15" s="56"/>
      <c r="HL15" s="56"/>
      <c r="HM15" s="56"/>
      <c r="HN15" s="56"/>
      <c r="HO15" s="56"/>
      <c r="HP15" s="56"/>
      <c r="HQ15" s="56"/>
      <c r="HR15" s="56"/>
      <c r="HS15" s="56"/>
      <c r="HT15" s="56"/>
      <c r="HU15" s="56"/>
      <c r="HV15" s="56"/>
      <c r="HW15" s="56"/>
      <c r="HX15" s="56"/>
      <c r="HY15" s="56"/>
      <c r="HZ15" s="56"/>
      <c r="IA15" s="56"/>
      <c r="IB15" s="56"/>
      <c r="IC15" s="56"/>
      <c r="ID15" s="56"/>
      <c r="IE15" s="56"/>
      <c r="IF15" s="56"/>
      <c r="IG15" s="56"/>
      <c r="IH15" s="56"/>
      <c r="II15" s="56"/>
      <c r="IJ15" s="56"/>
      <c r="IK15" s="56"/>
      <c r="IL15" s="56"/>
      <c r="IM15" s="56"/>
      <c r="IN15" s="56"/>
      <c r="IO15" s="56"/>
      <c r="IP15" s="56"/>
      <c r="IQ15" s="56"/>
      <c r="IR15" s="56"/>
      <c r="IS15" s="56"/>
      <c r="IT15" s="56"/>
      <c r="IU15" s="56"/>
      <c r="IV15" s="56"/>
    </row>
    <row r="16" spans="1:256" ht="9.75" customHeight="1" x14ac:dyDescent="0.25">
      <c r="A16" s="59"/>
      <c r="B16" s="59"/>
      <c r="C16" s="59"/>
      <c r="D16" s="59"/>
      <c r="E16" s="59"/>
      <c r="F16" s="59"/>
      <c r="G16" s="59"/>
      <c r="H16" s="59"/>
      <c r="I16" s="59"/>
      <c r="J16" s="58"/>
      <c r="K16" s="56"/>
      <c r="L16" s="56"/>
      <c r="M16" s="56"/>
      <c r="N16" s="56"/>
      <c r="O16" s="56"/>
      <c r="P16" s="56"/>
      <c r="Q16" s="56"/>
      <c r="R16" s="56"/>
      <c r="S16" s="56"/>
      <c r="T16" s="56"/>
      <c r="U16" s="56"/>
      <c r="V16" s="56"/>
      <c r="W16" s="56"/>
      <c r="X16" s="56"/>
      <c r="Y16" s="56"/>
      <c r="Z16" s="56"/>
      <c r="AA16" s="56"/>
      <c r="AB16" s="56"/>
      <c r="AC16" s="56"/>
      <c r="AD16" s="56"/>
      <c r="AE16" s="56"/>
      <c r="AF16" s="56"/>
      <c r="AG16" s="56"/>
      <c r="AH16" s="56"/>
      <c r="AI16" s="56"/>
      <c r="AJ16" s="56"/>
      <c r="AK16" s="56"/>
      <c r="AL16" s="56"/>
      <c r="AM16" s="56"/>
      <c r="AN16" s="56"/>
      <c r="AO16" s="56"/>
      <c r="AP16" s="56"/>
      <c r="AQ16" s="56"/>
      <c r="AR16" s="56"/>
      <c r="AS16" s="56"/>
      <c r="AT16" s="56"/>
      <c r="AU16" s="56"/>
      <c r="AV16" s="56"/>
      <c r="AW16" s="56"/>
      <c r="AX16" s="56"/>
      <c r="AY16" s="56"/>
      <c r="AZ16" s="56"/>
      <c r="BA16" s="56"/>
      <c r="BB16" s="56"/>
      <c r="BC16" s="56"/>
      <c r="BD16" s="56"/>
      <c r="BE16" s="56"/>
      <c r="BF16" s="56"/>
      <c r="BG16" s="56"/>
      <c r="BH16" s="56"/>
      <c r="BI16" s="56"/>
      <c r="BJ16" s="56"/>
      <c r="BK16" s="56"/>
      <c r="BL16" s="56"/>
      <c r="BM16" s="56"/>
      <c r="BN16" s="56"/>
      <c r="BO16" s="56"/>
      <c r="BP16" s="56"/>
      <c r="BQ16" s="56"/>
      <c r="BR16" s="56"/>
      <c r="BS16" s="56"/>
      <c r="BT16" s="56"/>
      <c r="BU16" s="56"/>
      <c r="BV16" s="56"/>
      <c r="BW16" s="56"/>
      <c r="BX16" s="56"/>
      <c r="BY16" s="56"/>
      <c r="BZ16" s="56"/>
      <c r="CA16" s="56"/>
      <c r="CB16" s="56"/>
      <c r="CC16" s="56"/>
      <c r="CD16" s="56"/>
      <c r="CE16" s="56"/>
      <c r="CF16" s="56"/>
      <c r="CG16" s="56"/>
      <c r="CH16" s="56"/>
      <c r="CI16" s="56"/>
      <c r="CJ16" s="56"/>
      <c r="CK16" s="56"/>
      <c r="CL16" s="56"/>
      <c r="CM16" s="56"/>
      <c r="CN16" s="56"/>
      <c r="CO16" s="56"/>
      <c r="CP16" s="56"/>
      <c r="CQ16" s="56"/>
      <c r="CR16" s="56"/>
      <c r="CS16" s="56"/>
      <c r="CT16" s="56"/>
      <c r="CU16" s="56"/>
      <c r="CV16" s="56"/>
      <c r="CW16" s="56"/>
      <c r="CX16" s="56"/>
      <c r="CY16" s="56"/>
      <c r="CZ16" s="56"/>
      <c r="DA16" s="56"/>
      <c r="DB16" s="56"/>
      <c r="DC16" s="56"/>
      <c r="DD16" s="56"/>
      <c r="DE16" s="56"/>
      <c r="DF16" s="56"/>
      <c r="DG16" s="56"/>
      <c r="DH16" s="56"/>
      <c r="DI16" s="56"/>
      <c r="DJ16" s="56"/>
      <c r="DK16" s="56"/>
      <c r="DL16" s="56"/>
      <c r="DM16" s="56"/>
      <c r="DN16" s="56"/>
      <c r="DO16" s="56"/>
      <c r="DP16" s="56"/>
      <c r="DQ16" s="56"/>
      <c r="DR16" s="56"/>
      <c r="DS16" s="56"/>
      <c r="DT16" s="56"/>
      <c r="DU16" s="56"/>
      <c r="DV16" s="56"/>
      <c r="DW16" s="56"/>
      <c r="DX16" s="56"/>
      <c r="DY16" s="56"/>
      <c r="DZ16" s="56"/>
      <c r="EA16" s="56"/>
      <c r="EB16" s="56"/>
      <c r="EC16" s="56"/>
      <c r="ED16" s="56"/>
      <c r="EE16" s="56"/>
      <c r="EF16" s="56"/>
      <c r="EG16" s="56"/>
      <c r="EH16" s="56"/>
      <c r="EI16" s="56"/>
      <c r="EJ16" s="56"/>
      <c r="EK16" s="56"/>
      <c r="EL16" s="56"/>
      <c r="EM16" s="56"/>
      <c r="EN16" s="56"/>
      <c r="EO16" s="56"/>
      <c r="EP16" s="56"/>
      <c r="EQ16" s="56"/>
      <c r="ER16" s="56"/>
      <c r="ES16" s="56"/>
      <c r="ET16" s="56"/>
      <c r="EU16" s="56"/>
      <c r="EV16" s="56"/>
      <c r="EW16" s="56"/>
      <c r="EX16" s="56"/>
      <c r="EY16" s="56"/>
      <c r="EZ16" s="56"/>
      <c r="FA16" s="56"/>
      <c r="FB16" s="56"/>
      <c r="FC16" s="56"/>
      <c r="FD16" s="56"/>
      <c r="FE16" s="56"/>
      <c r="FF16" s="56"/>
      <c r="FG16" s="56"/>
      <c r="FH16" s="56"/>
      <c r="FI16" s="56"/>
      <c r="FJ16" s="56"/>
      <c r="FK16" s="56"/>
      <c r="FL16" s="56"/>
      <c r="FM16" s="56"/>
      <c r="FN16" s="56"/>
      <c r="FO16" s="56"/>
      <c r="FP16" s="56"/>
      <c r="FQ16" s="56"/>
      <c r="FR16" s="56"/>
      <c r="FS16" s="56"/>
      <c r="FT16" s="56"/>
      <c r="FU16" s="56"/>
      <c r="FV16" s="56"/>
      <c r="FW16" s="56"/>
      <c r="FX16" s="56"/>
      <c r="FY16" s="56"/>
      <c r="FZ16" s="56"/>
      <c r="GA16" s="56"/>
      <c r="GB16" s="56"/>
      <c r="GC16" s="56"/>
      <c r="GD16" s="56"/>
      <c r="GE16" s="56"/>
      <c r="GF16" s="56"/>
      <c r="GG16" s="56"/>
      <c r="GH16" s="56"/>
      <c r="GI16" s="56"/>
      <c r="GJ16" s="56"/>
      <c r="GK16" s="56"/>
      <c r="GL16" s="56"/>
      <c r="GM16" s="56"/>
      <c r="GN16" s="56"/>
      <c r="GO16" s="56"/>
      <c r="GP16" s="56"/>
      <c r="GQ16" s="56"/>
      <c r="GR16" s="56"/>
      <c r="GS16" s="56"/>
      <c r="GT16" s="56"/>
      <c r="GU16" s="56"/>
      <c r="GV16" s="56"/>
      <c r="GW16" s="56"/>
      <c r="GX16" s="56"/>
      <c r="GY16" s="56"/>
      <c r="GZ16" s="56"/>
      <c r="HA16" s="56"/>
      <c r="HB16" s="56"/>
      <c r="HC16" s="56"/>
      <c r="HD16" s="56"/>
      <c r="HE16" s="56"/>
      <c r="HF16" s="56"/>
      <c r="HG16" s="56"/>
      <c r="HH16" s="56"/>
      <c r="HI16" s="56"/>
      <c r="HJ16" s="56"/>
      <c r="HK16" s="56"/>
      <c r="HL16" s="56"/>
      <c r="HM16" s="56"/>
      <c r="HN16" s="56"/>
      <c r="HO16" s="56"/>
      <c r="HP16" s="56"/>
      <c r="HQ16" s="56"/>
      <c r="HR16" s="56"/>
      <c r="HS16" s="56"/>
      <c r="HT16" s="56"/>
      <c r="HU16" s="56"/>
      <c r="HV16" s="56"/>
      <c r="HW16" s="56"/>
      <c r="HX16" s="56"/>
      <c r="HY16" s="56"/>
      <c r="HZ16" s="56"/>
      <c r="IA16" s="56"/>
      <c r="IB16" s="56"/>
      <c r="IC16" s="56"/>
      <c r="ID16" s="56"/>
      <c r="IE16" s="56"/>
      <c r="IF16" s="56"/>
      <c r="IG16" s="56"/>
      <c r="IH16" s="56"/>
      <c r="II16" s="56"/>
      <c r="IJ16" s="56"/>
      <c r="IK16" s="56"/>
      <c r="IL16" s="56"/>
      <c r="IM16" s="56"/>
      <c r="IN16" s="56"/>
      <c r="IO16" s="56"/>
      <c r="IP16" s="56"/>
      <c r="IQ16" s="56"/>
      <c r="IR16" s="56"/>
      <c r="IS16" s="56"/>
      <c r="IT16" s="56"/>
      <c r="IU16" s="56"/>
      <c r="IV16" s="56"/>
    </row>
    <row r="17" spans="1:9" ht="97.5" customHeight="1" x14ac:dyDescent="0.2">
      <c r="A17" s="60" t="s">
        <v>188</v>
      </c>
      <c r="B17" s="204" t="s">
        <v>189</v>
      </c>
      <c r="C17" s="205"/>
      <c r="D17" s="204" t="s">
        <v>88</v>
      </c>
      <c r="E17" s="206"/>
      <c r="F17" s="206"/>
      <c r="G17" s="205"/>
      <c r="H17" s="61" t="s">
        <v>87</v>
      </c>
      <c r="I17" s="114" t="s">
        <v>190</v>
      </c>
    </row>
    <row r="18" spans="1:9" ht="12.75" customHeight="1" x14ac:dyDescent="0.2">
      <c r="A18" s="88" t="s">
        <v>191</v>
      </c>
      <c r="B18" s="207">
        <v>2</v>
      </c>
      <c r="C18" s="208"/>
      <c r="D18" s="207">
        <v>3</v>
      </c>
      <c r="E18" s="209"/>
      <c r="F18" s="209"/>
      <c r="G18" s="208"/>
      <c r="H18" s="113">
        <v>4</v>
      </c>
      <c r="I18" s="115">
        <v>5</v>
      </c>
    </row>
    <row r="19" spans="1:9" ht="94.5" customHeight="1" x14ac:dyDescent="0.2">
      <c r="A19" s="89" t="s">
        <v>191</v>
      </c>
      <c r="B19" s="233" t="s">
        <v>366</v>
      </c>
      <c r="C19" s="233"/>
      <c r="D19" s="234" t="s">
        <v>367</v>
      </c>
      <c r="E19" s="234"/>
      <c r="F19" s="234"/>
      <c r="G19" s="234"/>
      <c r="H19" s="111" t="s">
        <v>368</v>
      </c>
      <c r="I19" s="112">
        <f>118.7*2.4*1.2*0.805*4.15</f>
        <v>1142.0554320000001</v>
      </c>
    </row>
    <row r="20" spans="1:9" ht="115.5" customHeight="1" x14ac:dyDescent="0.2">
      <c r="A20" s="75" t="s">
        <v>200</v>
      </c>
      <c r="B20" s="235" t="s">
        <v>220</v>
      </c>
      <c r="C20" s="236"/>
      <c r="D20" s="245" t="s">
        <v>221</v>
      </c>
      <c r="E20" s="246"/>
      <c r="F20" s="246"/>
      <c r="G20" s="247"/>
      <c r="H20" s="64" t="s">
        <v>370</v>
      </c>
      <c r="I20" s="65">
        <f>(11960*1*0.6*4.15*1.4*(1+0.1)*0.825)</f>
        <v>37835.998199999995</v>
      </c>
    </row>
    <row r="21" spans="1:9" ht="14.25" customHeight="1" x14ac:dyDescent="0.2">
      <c r="A21" s="75"/>
      <c r="B21" s="215" t="s">
        <v>63</v>
      </c>
      <c r="C21" s="216"/>
      <c r="D21" s="248"/>
      <c r="E21" s="249"/>
      <c r="F21" s="249"/>
      <c r="G21" s="250"/>
      <c r="H21" s="76"/>
      <c r="I21" s="87"/>
    </row>
    <row r="22" spans="1:9" ht="26.25" customHeight="1" x14ac:dyDescent="0.2">
      <c r="A22" s="75"/>
      <c r="B22" s="230" t="s">
        <v>194</v>
      </c>
      <c r="C22" s="231"/>
      <c r="D22" s="230" t="s">
        <v>195</v>
      </c>
      <c r="E22" s="232"/>
      <c r="F22" s="232"/>
      <c r="G22" s="231"/>
      <c r="H22" s="76"/>
      <c r="I22" s="87"/>
    </row>
    <row r="23" spans="1:9" ht="38.25" customHeight="1" x14ac:dyDescent="0.2">
      <c r="A23" s="75"/>
      <c r="B23" s="240"/>
      <c r="C23" s="241"/>
      <c r="D23" s="230" t="s">
        <v>369</v>
      </c>
      <c r="E23" s="232"/>
      <c r="F23" s="232"/>
      <c r="G23" s="231"/>
      <c r="H23" s="76"/>
      <c r="I23" s="87"/>
    </row>
    <row r="24" spans="1:9" ht="27.75" customHeight="1" x14ac:dyDescent="0.2">
      <c r="A24" s="75"/>
      <c r="B24" s="240"/>
      <c r="C24" s="241"/>
      <c r="D24" s="230" t="s">
        <v>197</v>
      </c>
      <c r="E24" s="232"/>
      <c r="F24" s="232"/>
      <c r="G24" s="231"/>
      <c r="H24" s="76"/>
      <c r="I24" s="87"/>
    </row>
    <row r="25" spans="1:9" ht="25.5" customHeight="1" x14ac:dyDescent="0.2">
      <c r="A25" s="75"/>
      <c r="B25" s="240"/>
      <c r="C25" s="241"/>
      <c r="D25" s="218" t="s">
        <v>198</v>
      </c>
      <c r="E25" s="220"/>
      <c r="F25" s="220"/>
      <c r="G25" s="219"/>
      <c r="H25" s="76"/>
      <c r="I25" s="87"/>
    </row>
    <row r="26" spans="1:9" ht="54.75" customHeight="1" x14ac:dyDescent="0.2">
      <c r="A26" s="75"/>
      <c r="B26" s="221" t="s">
        <v>69</v>
      </c>
      <c r="C26" s="222"/>
      <c r="D26" s="221"/>
      <c r="E26" s="223"/>
      <c r="F26" s="223"/>
      <c r="G26" s="222"/>
      <c r="H26" s="73" t="s">
        <v>290</v>
      </c>
      <c r="I26" s="87"/>
    </row>
    <row r="27" spans="1:9" ht="106.5" customHeight="1" x14ac:dyDescent="0.2">
      <c r="A27" s="75" t="s">
        <v>201</v>
      </c>
      <c r="B27" s="235" t="s">
        <v>71</v>
      </c>
      <c r="C27" s="236"/>
      <c r="D27" s="237" t="s">
        <v>72</v>
      </c>
      <c r="E27" s="238"/>
      <c r="F27" s="238"/>
      <c r="G27" s="239"/>
      <c r="H27" s="76" t="s">
        <v>371</v>
      </c>
      <c r="I27" s="82">
        <f>(0+800*1)*1*0.5*4.15</f>
        <v>1660.0000000000002</v>
      </c>
    </row>
    <row r="28" spans="1:9" ht="15.75" customHeight="1" x14ac:dyDescent="0.2">
      <c r="A28" s="66" t="s">
        <v>193</v>
      </c>
      <c r="B28" s="215" t="s">
        <v>63</v>
      </c>
      <c r="C28" s="216"/>
      <c r="D28" s="215"/>
      <c r="E28" s="217"/>
      <c r="F28" s="217"/>
      <c r="G28" s="216"/>
      <c r="H28" s="67"/>
      <c r="I28" s="91"/>
    </row>
    <row r="29" spans="1:9" ht="12.75" customHeight="1" x14ac:dyDescent="0.2">
      <c r="A29" s="69" t="s">
        <v>193</v>
      </c>
      <c r="B29" s="230" t="s">
        <v>64</v>
      </c>
      <c r="C29" s="231"/>
      <c r="D29" s="230" t="s">
        <v>74</v>
      </c>
      <c r="E29" s="232"/>
      <c r="F29" s="232"/>
      <c r="G29" s="231"/>
      <c r="H29" s="70"/>
      <c r="I29" s="71"/>
    </row>
    <row r="30" spans="1:9" ht="38.25" customHeight="1" x14ac:dyDescent="0.2">
      <c r="A30" s="69" t="s">
        <v>193</v>
      </c>
      <c r="B30" s="230"/>
      <c r="C30" s="231"/>
      <c r="D30" s="230" t="s">
        <v>369</v>
      </c>
      <c r="E30" s="232"/>
      <c r="F30" s="232"/>
      <c r="G30" s="231"/>
      <c r="H30" s="70"/>
      <c r="I30" s="71"/>
    </row>
    <row r="31" spans="1:9" ht="22.5" customHeight="1" x14ac:dyDescent="0.2">
      <c r="A31" s="72" t="s">
        <v>193</v>
      </c>
      <c r="B31" s="242" t="s">
        <v>69</v>
      </c>
      <c r="C31" s="243"/>
      <c r="D31" s="242"/>
      <c r="E31" s="244"/>
      <c r="F31" s="244"/>
      <c r="G31" s="243"/>
      <c r="H31" s="73" t="s">
        <v>75</v>
      </c>
      <c r="I31" s="74"/>
    </row>
    <row r="32" spans="1:9" ht="12.75" customHeight="1" x14ac:dyDescent="0.2">
      <c r="A32" s="72" t="s">
        <v>202</v>
      </c>
      <c r="B32" s="224" t="s">
        <v>76</v>
      </c>
      <c r="C32" s="225"/>
      <c r="D32" s="224"/>
      <c r="E32" s="226"/>
      <c r="F32" s="226"/>
      <c r="G32" s="225"/>
      <c r="H32" s="78"/>
      <c r="I32" s="79">
        <f>I19+I27+I20</f>
        <v>40638.053631999996</v>
      </c>
    </row>
    <row r="33" spans="1:256" ht="12.75" customHeight="1" x14ac:dyDescent="0.2">
      <c r="A33" s="80" t="s">
        <v>203</v>
      </c>
      <c r="B33" s="227" t="s">
        <v>77</v>
      </c>
      <c r="C33" s="228"/>
      <c r="D33" s="227"/>
      <c r="E33" s="229"/>
      <c r="F33" s="229"/>
      <c r="G33" s="228"/>
      <c r="H33" s="81" t="s">
        <v>217</v>
      </c>
      <c r="I33" s="82">
        <f>I32*0.1</f>
        <v>4063.8053631999996</v>
      </c>
    </row>
    <row r="34" spans="1:256" ht="39.75" customHeight="1" x14ac:dyDescent="0.2">
      <c r="A34" s="80" t="s">
        <v>204</v>
      </c>
      <c r="B34" s="227" t="s">
        <v>23</v>
      </c>
      <c r="C34" s="228"/>
      <c r="D34" s="227"/>
      <c r="E34" s="229"/>
      <c r="F34" s="229"/>
      <c r="G34" s="228"/>
      <c r="H34" s="81" t="s">
        <v>79</v>
      </c>
      <c r="I34" s="82">
        <v>21400.44</v>
      </c>
    </row>
    <row r="35" spans="1:256" ht="25.5" customHeight="1" x14ac:dyDescent="0.2">
      <c r="A35" s="80" t="s">
        <v>205</v>
      </c>
      <c r="B35" s="227" t="s">
        <v>80</v>
      </c>
      <c r="C35" s="228"/>
      <c r="D35" s="227"/>
      <c r="E35" s="229"/>
      <c r="F35" s="229"/>
      <c r="G35" s="228"/>
      <c r="H35" s="81" t="s">
        <v>79</v>
      </c>
      <c r="I35" s="82">
        <v>4166.66</v>
      </c>
    </row>
    <row r="36" spans="1:256" ht="12.75" customHeight="1" x14ac:dyDescent="0.2">
      <c r="A36" s="80" t="s">
        <v>206</v>
      </c>
      <c r="B36" s="227" t="s">
        <v>81</v>
      </c>
      <c r="C36" s="228"/>
      <c r="D36" s="227"/>
      <c r="E36" s="229"/>
      <c r="F36" s="229"/>
      <c r="G36" s="228"/>
      <c r="H36" s="81" t="s">
        <v>227</v>
      </c>
      <c r="I36" s="82">
        <f>I32+I33+I34+I35</f>
        <v>70268.958995199995</v>
      </c>
    </row>
    <row r="37" spans="1:256" ht="12.75" customHeight="1" x14ac:dyDescent="0.2">
      <c r="A37" s="80" t="s">
        <v>208</v>
      </c>
      <c r="B37" s="227" t="s">
        <v>207</v>
      </c>
      <c r="C37" s="228"/>
      <c r="D37" s="227"/>
      <c r="E37" s="229"/>
      <c r="F37" s="229"/>
      <c r="G37" s="228"/>
      <c r="H37" s="81" t="s">
        <v>274</v>
      </c>
      <c r="I37" s="82">
        <f>ROUND(I36*20%,2)</f>
        <v>14053.79</v>
      </c>
    </row>
    <row r="38" spans="1:256" ht="12.75" customHeight="1" x14ac:dyDescent="0.2">
      <c r="A38" s="80" t="s">
        <v>226</v>
      </c>
      <c r="B38" s="224" t="s">
        <v>85</v>
      </c>
      <c r="C38" s="225"/>
      <c r="D38" s="224"/>
      <c r="E38" s="226"/>
      <c r="F38" s="226"/>
      <c r="G38" s="225"/>
      <c r="H38" s="83" t="s">
        <v>228</v>
      </c>
      <c r="I38" s="84">
        <f>I36+I37</f>
        <v>84322.748995200003</v>
      </c>
    </row>
    <row r="40" spans="1:256" ht="12.75" customHeight="1" x14ac:dyDescent="0.25">
      <c r="A40" s="52" t="s">
        <v>209</v>
      </c>
      <c r="B40" s="52"/>
      <c r="C40" s="52"/>
      <c r="D40" s="52"/>
      <c r="E40" s="52"/>
      <c r="F40" s="52"/>
      <c r="G40" s="52"/>
      <c r="H40" s="52"/>
      <c r="I40" s="52"/>
      <c r="J40" s="52"/>
      <c r="K40" s="52"/>
      <c r="L40" s="52"/>
      <c r="M40" s="52"/>
      <c r="N40" s="52"/>
      <c r="O40" s="52"/>
      <c r="P40" s="52"/>
      <c r="Q40" s="52"/>
      <c r="R40" s="52"/>
      <c r="S40" s="52"/>
      <c r="T40" s="52"/>
      <c r="U40" s="52"/>
      <c r="V40" s="52"/>
      <c r="W40" s="52"/>
      <c r="X40" s="52"/>
      <c r="Y40" s="52"/>
      <c r="Z40" s="52"/>
      <c r="AA40" s="52"/>
      <c r="AB40" s="52"/>
      <c r="AC40" s="52"/>
      <c r="AD40" s="52"/>
      <c r="AE40" s="52"/>
      <c r="AF40" s="52"/>
      <c r="AG40" s="52"/>
      <c r="AH40" s="52"/>
      <c r="AI40" s="52"/>
      <c r="AJ40" s="52"/>
      <c r="AK40" s="52"/>
      <c r="AL40" s="52"/>
      <c r="AM40" s="52"/>
      <c r="AN40" s="52"/>
      <c r="AO40" s="52"/>
      <c r="AP40" s="52"/>
      <c r="AQ40" s="52"/>
      <c r="AR40" s="52"/>
      <c r="AS40" s="52"/>
      <c r="AT40" s="52"/>
      <c r="AU40" s="52"/>
      <c r="AV40" s="52"/>
      <c r="AW40" s="52"/>
      <c r="AX40" s="52"/>
      <c r="AY40" s="52"/>
      <c r="AZ40" s="52"/>
      <c r="BA40" s="52"/>
      <c r="BB40" s="52"/>
      <c r="BC40" s="52"/>
      <c r="BD40" s="52"/>
      <c r="BE40" s="52"/>
      <c r="BF40" s="52"/>
      <c r="BG40" s="52"/>
      <c r="BH40" s="52"/>
      <c r="BI40" s="52"/>
      <c r="BJ40" s="52"/>
      <c r="BK40" s="52"/>
      <c r="BL40" s="52"/>
      <c r="BM40" s="52"/>
      <c r="BN40" s="52"/>
      <c r="BO40" s="52"/>
      <c r="BP40" s="52"/>
      <c r="BQ40" s="52"/>
      <c r="BR40" s="52"/>
      <c r="BS40" s="52"/>
      <c r="BT40" s="52"/>
      <c r="BU40" s="52"/>
      <c r="BV40" s="52"/>
      <c r="BW40" s="52"/>
      <c r="BX40" s="52"/>
      <c r="BY40" s="52"/>
      <c r="BZ40" s="52"/>
      <c r="CA40" s="52"/>
      <c r="CB40" s="52"/>
      <c r="CC40" s="52"/>
      <c r="CD40" s="52"/>
      <c r="CE40" s="52"/>
      <c r="CF40" s="52"/>
      <c r="CG40" s="52"/>
      <c r="CH40" s="52"/>
      <c r="CI40" s="52"/>
      <c r="CJ40" s="52"/>
      <c r="CK40" s="52"/>
      <c r="CL40" s="52"/>
      <c r="CM40" s="52"/>
      <c r="CN40" s="52"/>
      <c r="CO40" s="52"/>
      <c r="CP40" s="52"/>
      <c r="CQ40" s="52"/>
      <c r="CR40" s="52"/>
      <c r="CS40" s="52"/>
      <c r="CT40" s="52"/>
      <c r="CU40" s="52"/>
      <c r="CV40" s="52"/>
      <c r="CW40" s="52"/>
      <c r="CX40" s="52"/>
      <c r="CY40" s="52"/>
      <c r="CZ40" s="52"/>
      <c r="DA40" s="52"/>
      <c r="DB40" s="52"/>
      <c r="DC40" s="52"/>
      <c r="DD40" s="52"/>
      <c r="DE40" s="52"/>
      <c r="DF40" s="52"/>
      <c r="DG40" s="52"/>
      <c r="DH40" s="52"/>
      <c r="DI40" s="52"/>
      <c r="DJ40" s="52"/>
      <c r="DK40" s="52"/>
      <c r="DL40" s="52"/>
      <c r="DM40" s="52"/>
      <c r="DN40" s="52"/>
      <c r="DO40" s="52"/>
      <c r="DP40" s="52"/>
      <c r="DQ40" s="52"/>
      <c r="DR40" s="52"/>
      <c r="DS40" s="52"/>
      <c r="DT40" s="52"/>
      <c r="DU40" s="52"/>
      <c r="DV40" s="52"/>
      <c r="DW40" s="52"/>
      <c r="DX40" s="52"/>
      <c r="DY40" s="52"/>
      <c r="DZ40" s="52"/>
      <c r="EA40" s="52"/>
      <c r="EB40" s="52"/>
      <c r="EC40" s="52"/>
      <c r="ED40" s="52"/>
      <c r="EE40" s="52"/>
      <c r="EF40" s="52"/>
      <c r="EG40" s="52"/>
      <c r="EH40" s="52"/>
      <c r="EI40" s="52"/>
      <c r="EJ40" s="52"/>
      <c r="EK40" s="52"/>
      <c r="EL40" s="52"/>
      <c r="EM40" s="52"/>
      <c r="EN40" s="52"/>
      <c r="EO40" s="52"/>
      <c r="EP40" s="52"/>
      <c r="EQ40" s="52"/>
      <c r="ER40" s="52"/>
      <c r="ES40" s="52"/>
      <c r="ET40" s="52"/>
      <c r="EU40" s="52"/>
      <c r="EV40" s="52"/>
      <c r="EW40" s="52"/>
      <c r="EX40" s="52"/>
      <c r="EY40" s="52"/>
      <c r="EZ40" s="52"/>
      <c r="FA40" s="52"/>
      <c r="FB40" s="52"/>
      <c r="FC40" s="52"/>
      <c r="FD40" s="52"/>
      <c r="FE40" s="52"/>
      <c r="FF40" s="52"/>
      <c r="FG40" s="52"/>
      <c r="FH40" s="52"/>
      <c r="FI40" s="52"/>
      <c r="FJ40" s="52"/>
      <c r="FK40" s="52"/>
      <c r="FL40" s="52"/>
      <c r="FM40" s="52"/>
      <c r="FN40" s="52"/>
      <c r="FO40" s="52"/>
      <c r="FP40" s="52"/>
      <c r="FQ40" s="52"/>
      <c r="FR40" s="52"/>
      <c r="FS40" s="52"/>
      <c r="FT40" s="52"/>
      <c r="FU40" s="52"/>
      <c r="FV40" s="52"/>
      <c r="FW40" s="52"/>
      <c r="FX40" s="52"/>
      <c r="FY40" s="52"/>
      <c r="FZ40" s="52"/>
      <c r="GA40" s="52"/>
      <c r="GB40" s="52"/>
      <c r="GC40" s="52"/>
      <c r="GD40" s="52"/>
      <c r="GE40" s="52"/>
      <c r="GF40" s="52"/>
      <c r="GG40" s="52"/>
      <c r="GH40" s="52"/>
      <c r="GI40" s="52"/>
      <c r="GJ40" s="52"/>
      <c r="GK40" s="52"/>
      <c r="GL40" s="52"/>
      <c r="GM40" s="52"/>
      <c r="GN40" s="52"/>
      <c r="GO40" s="52"/>
      <c r="GP40" s="52"/>
      <c r="GQ40" s="52"/>
      <c r="GR40" s="52"/>
      <c r="GS40" s="52"/>
      <c r="GT40" s="52"/>
      <c r="GU40" s="52"/>
      <c r="GV40" s="52"/>
      <c r="GW40" s="52"/>
      <c r="GX40" s="52"/>
      <c r="GY40" s="52"/>
      <c r="GZ40" s="52"/>
      <c r="HA40" s="52"/>
      <c r="HB40" s="52"/>
      <c r="HC40" s="52"/>
      <c r="HD40" s="52"/>
      <c r="HE40" s="52"/>
      <c r="HF40" s="52"/>
      <c r="HG40" s="52"/>
      <c r="HH40" s="52"/>
      <c r="HI40" s="52"/>
      <c r="HJ40" s="52"/>
      <c r="HK40" s="52"/>
      <c r="HL40" s="52"/>
      <c r="HM40" s="52"/>
      <c r="HN40" s="52"/>
      <c r="HO40" s="52"/>
      <c r="HP40" s="52"/>
      <c r="HQ40" s="52"/>
      <c r="HR40" s="52"/>
      <c r="HS40" s="52"/>
      <c r="HT40" s="52"/>
      <c r="HU40" s="52"/>
      <c r="HV40" s="52"/>
      <c r="HW40" s="52"/>
      <c r="HX40" s="52"/>
      <c r="HY40" s="52"/>
      <c r="HZ40" s="52"/>
      <c r="IA40" s="52"/>
      <c r="IB40" s="52"/>
      <c r="IC40" s="52"/>
      <c r="ID40" s="52"/>
      <c r="IE40" s="52"/>
      <c r="IF40" s="52"/>
      <c r="IG40" s="52"/>
      <c r="IH40" s="52"/>
      <c r="II40" s="52"/>
      <c r="IJ40" s="52"/>
      <c r="IK40" s="52"/>
      <c r="IL40" s="52"/>
      <c r="IM40" s="52"/>
      <c r="IN40" s="52"/>
      <c r="IO40" s="52"/>
      <c r="IP40" s="52"/>
      <c r="IQ40" s="52"/>
      <c r="IR40" s="52"/>
      <c r="IS40" s="52"/>
      <c r="IT40" s="52"/>
      <c r="IU40" s="52"/>
      <c r="IV40" s="52"/>
    </row>
    <row r="41" spans="1:256" ht="13.5" customHeight="1" x14ac:dyDescent="0.25">
      <c r="A41" s="1" t="s">
        <v>27</v>
      </c>
      <c r="B41" s="1"/>
      <c r="C41" s="1"/>
      <c r="D41" s="52"/>
      <c r="E41" s="52"/>
      <c r="F41" s="52"/>
      <c r="G41" s="52"/>
      <c r="H41" s="52"/>
      <c r="I41" s="52"/>
      <c r="J41" s="52"/>
      <c r="K41" s="52"/>
      <c r="L41" s="52"/>
      <c r="M41" s="52"/>
      <c r="N41" s="52"/>
      <c r="O41" s="52"/>
      <c r="P41" s="52"/>
      <c r="Q41" s="52"/>
      <c r="R41" s="52"/>
      <c r="S41" s="52"/>
      <c r="T41" s="52"/>
      <c r="U41" s="52"/>
      <c r="V41" s="52"/>
      <c r="W41" s="52"/>
      <c r="X41" s="52"/>
      <c r="Y41" s="52"/>
      <c r="Z41" s="52"/>
      <c r="AA41" s="52"/>
      <c r="AB41" s="52"/>
      <c r="AC41" s="52"/>
      <c r="AD41" s="52"/>
      <c r="AE41" s="52"/>
      <c r="AF41" s="52"/>
      <c r="AG41" s="52"/>
      <c r="AH41" s="52"/>
      <c r="AI41" s="52"/>
      <c r="AJ41" s="52"/>
      <c r="AK41" s="52"/>
      <c r="AL41" s="52"/>
      <c r="AM41" s="52"/>
      <c r="AN41" s="52"/>
      <c r="AO41" s="52"/>
      <c r="AP41" s="52"/>
      <c r="AQ41" s="52"/>
      <c r="AR41" s="52"/>
      <c r="AS41" s="52"/>
      <c r="AT41" s="52"/>
      <c r="AU41" s="52"/>
      <c r="AV41" s="52"/>
      <c r="AW41" s="52"/>
      <c r="AX41" s="52"/>
      <c r="AY41" s="52"/>
      <c r="AZ41" s="52"/>
      <c r="BA41" s="52"/>
      <c r="BB41" s="52"/>
      <c r="BC41" s="52"/>
      <c r="BD41" s="52"/>
      <c r="BE41" s="52"/>
      <c r="BF41" s="52"/>
      <c r="BG41" s="52"/>
      <c r="BH41" s="52"/>
      <c r="BI41" s="52"/>
      <c r="BJ41" s="52"/>
      <c r="BK41" s="52"/>
      <c r="BL41" s="52"/>
      <c r="BM41" s="52"/>
      <c r="BN41" s="52"/>
      <c r="BO41" s="52"/>
      <c r="BP41" s="52"/>
      <c r="BQ41" s="52"/>
      <c r="BR41" s="52"/>
      <c r="BS41" s="52"/>
      <c r="BT41" s="52"/>
      <c r="BU41" s="52"/>
      <c r="BV41" s="52"/>
      <c r="BW41" s="52"/>
      <c r="BX41" s="52"/>
      <c r="BY41" s="52"/>
      <c r="BZ41" s="52"/>
      <c r="CA41" s="52"/>
      <c r="CB41" s="52"/>
      <c r="CC41" s="52"/>
      <c r="CD41" s="52"/>
      <c r="CE41" s="52"/>
      <c r="CF41" s="52"/>
      <c r="CG41" s="52"/>
      <c r="CH41" s="52"/>
      <c r="CI41" s="52"/>
      <c r="CJ41" s="52"/>
      <c r="CK41" s="52"/>
      <c r="CL41" s="52"/>
      <c r="CM41" s="52"/>
      <c r="CN41" s="52"/>
      <c r="CO41" s="52"/>
      <c r="CP41" s="52"/>
      <c r="CQ41" s="52"/>
      <c r="CR41" s="52"/>
      <c r="CS41" s="52"/>
      <c r="CT41" s="52"/>
      <c r="CU41" s="52"/>
      <c r="CV41" s="52"/>
      <c r="CW41" s="52"/>
      <c r="CX41" s="52"/>
      <c r="CY41" s="52"/>
      <c r="CZ41" s="52"/>
      <c r="DA41" s="52"/>
      <c r="DB41" s="52"/>
      <c r="DC41" s="52"/>
      <c r="DD41" s="52"/>
      <c r="DE41" s="52"/>
      <c r="DF41" s="52"/>
      <c r="DG41" s="52"/>
      <c r="DH41" s="52"/>
      <c r="DI41" s="52"/>
      <c r="DJ41" s="52"/>
      <c r="DK41" s="52"/>
      <c r="DL41" s="52"/>
      <c r="DM41" s="52"/>
      <c r="DN41" s="52"/>
      <c r="DO41" s="52"/>
      <c r="DP41" s="52"/>
      <c r="DQ41" s="52"/>
      <c r="DR41" s="52"/>
      <c r="DS41" s="52"/>
      <c r="DT41" s="52"/>
      <c r="DU41" s="52"/>
      <c r="DV41" s="52"/>
      <c r="DW41" s="52"/>
      <c r="DX41" s="52"/>
      <c r="DY41" s="52"/>
      <c r="DZ41" s="52"/>
      <c r="EA41" s="52"/>
      <c r="EB41" s="52"/>
      <c r="EC41" s="52"/>
      <c r="ED41" s="52"/>
      <c r="EE41" s="52"/>
      <c r="EF41" s="52"/>
      <c r="EG41" s="52"/>
      <c r="EH41" s="52"/>
      <c r="EI41" s="52"/>
      <c r="EJ41" s="52"/>
      <c r="EK41" s="52"/>
      <c r="EL41" s="52"/>
      <c r="EM41" s="52"/>
      <c r="EN41" s="52"/>
      <c r="EO41" s="52"/>
      <c r="EP41" s="52"/>
      <c r="EQ41" s="52"/>
      <c r="ER41" s="52"/>
      <c r="ES41" s="52"/>
      <c r="ET41" s="52"/>
      <c r="EU41" s="52"/>
      <c r="EV41" s="52"/>
      <c r="EW41" s="52"/>
      <c r="EX41" s="52"/>
      <c r="EY41" s="52"/>
      <c r="EZ41" s="52"/>
      <c r="FA41" s="52"/>
      <c r="FB41" s="52"/>
      <c r="FC41" s="52"/>
      <c r="FD41" s="52"/>
      <c r="FE41" s="52"/>
      <c r="FF41" s="52"/>
      <c r="FG41" s="52"/>
      <c r="FH41" s="52"/>
      <c r="FI41" s="52"/>
      <c r="FJ41" s="52"/>
      <c r="FK41" s="52"/>
      <c r="FL41" s="52"/>
      <c r="FM41" s="52"/>
      <c r="FN41" s="52"/>
      <c r="FO41" s="52"/>
      <c r="FP41" s="52"/>
      <c r="FQ41" s="52"/>
      <c r="FR41" s="52"/>
      <c r="FS41" s="52"/>
      <c r="FT41" s="52"/>
      <c r="FU41" s="52"/>
      <c r="FV41" s="52"/>
      <c r="FW41" s="52"/>
      <c r="FX41" s="52"/>
      <c r="FY41" s="52"/>
      <c r="FZ41" s="52"/>
      <c r="GA41" s="52"/>
      <c r="GB41" s="52"/>
      <c r="GC41" s="52"/>
      <c r="GD41" s="52"/>
      <c r="GE41" s="52"/>
      <c r="GF41" s="52"/>
      <c r="GG41" s="52"/>
      <c r="GH41" s="52"/>
      <c r="GI41" s="52"/>
      <c r="GJ41" s="52"/>
      <c r="GK41" s="52"/>
      <c r="GL41" s="52"/>
      <c r="GM41" s="52"/>
      <c r="GN41" s="52"/>
      <c r="GO41" s="52"/>
      <c r="GP41" s="52"/>
      <c r="GQ41" s="52"/>
      <c r="GR41" s="52"/>
      <c r="GS41" s="52"/>
      <c r="GT41" s="52"/>
      <c r="GU41" s="52"/>
      <c r="GV41" s="52"/>
      <c r="GW41" s="52"/>
      <c r="GX41" s="52"/>
      <c r="GY41" s="52"/>
      <c r="GZ41" s="52"/>
      <c r="HA41" s="52"/>
      <c r="HB41" s="52"/>
      <c r="HC41" s="52"/>
      <c r="HD41" s="52"/>
      <c r="HE41" s="52"/>
      <c r="HF41" s="52"/>
      <c r="HG41" s="52"/>
      <c r="HH41" s="52"/>
      <c r="HI41" s="52"/>
      <c r="HJ41" s="52"/>
      <c r="HK41" s="52"/>
      <c r="HL41" s="52"/>
      <c r="HM41" s="52"/>
      <c r="HN41" s="52"/>
      <c r="HO41" s="52"/>
      <c r="HP41" s="52"/>
      <c r="HQ41" s="52"/>
      <c r="HR41" s="52"/>
      <c r="HS41" s="52"/>
      <c r="HT41" s="52"/>
      <c r="HU41" s="52"/>
      <c r="HV41" s="52"/>
      <c r="HW41" s="52"/>
      <c r="HX41" s="52"/>
      <c r="HY41" s="52"/>
      <c r="HZ41" s="52"/>
      <c r="IA41" s="52"/>
      <c r="IB41" s="52"/>
      <c r="IC41" s="52"/>
      <c r="ID41" s="52"/>
      <c r="IE41" s="52"/>
      <c r="IF41" s="52"/>
      <c r="IG41" s="52"/>
      <c r="IH41" s="52"/>
      <c r="II41" s="52"/>
      <c r="IJ41" s="52"/>
      <c r="IK41" s="52"/>
      <c r="IL41" s="52"/>
      <c r="IM41" s="52"/>
      <c r="IN41" s="52"/>
      <c r="IO41" s="52"/>
      <c r="IP41" s="52"/>
      <c r="IQ41" s="52"/>
      <c r="IR41" s="52"/>
      <c r="IS41" s="52"/>
      <c r="IT41" s="52"/>
      <c r="IU41" s="52"/>
      <c r="IV41" s="52"/>
    </row>
    <row r="42" spans="1:256" ht="18" customHeight="1" x14ac:dyDescent="0.25">
      <c r="A42" s="1" t="s">
        <v>130</v>
      </c>
      <c r="B42" s="1"/>
      <c r="C42" s="1"/>
      <c r="D42" s="52"/>
      <c r="E42" s="52"/>
      <c r="F42" s="52"/>
      <c r="G42" s="52"/>
      <c r="H42" s="52"/>
      <c r="I42" s="52"/>
      <c r="J42" s="52"/>
      <c r="K42" s="52"/>
      <c r="L42" s="52"/>
      <c r="M42" s="52"/>
      <c r="N42" s="52"/>
      <c r="O42" s="52"/>
      <c r="P42" s="52"/>
      <c r="Q42" s="52"/>
      <c r="R42" s="52"/>
      <c r="S42" s="52"/>
      <c r="T42" s="52"/>
      <c r="U42" s="52"/>
      <c r="V42" s="52"/>
      <c r="W42" s="52"/>
      <c r="X42" s="52"/>
      <c r="Y42" s="52"/>
      <c r="Z42" s="52"/>
      <c r="AA42" s="52"/>
      <c r="AB42" s="52"/>
      <c r="AC42" s="52"/>
      <c r="AD42" s="52"/>
      <c r="AE42" s="52"/>
      <c r="AF42" s="52"/>
      <c r="AG42" s="52"/>
      <c r="AH42" s="52"/>
      <c r="AI42" s="52"/>
      <c r="AJ42" s="52"/>
      <c r="AK42" s="52"/>
      <c r="AL42" s="52"/>
      <c r="AM42" s="52"/>
      <c r="AN42" s="52"/>
      <c r="AO42" s="52"/>
      <c r="AP42" s="52"/>
      <c r="AQ42" s="52"/>
      <c r="AR42" s="52"/>
      <c r="AS42" s="52"/>
      <c r="AT42" s="52"/>
      <c r="AU42" s="52"/>
      <c r="AV42" s="52"/>
      <c r="AW42" s="52"/>
      <c r="AX42" s="52"/>
      <c r="AY42" s="52"/>
      <c r="AZ42" s="52"/>
      <c r="BA42" s="52"/>
      <c r="BB42" s="52"/>
      <c r="BC42" s="52"/>
      <c r="BD42" s="52"/>
      <c r="BE42" s="52"/>
      <c r="BF42" s="52"/>
      <c r="BG42" s="52"/>
      <c r="BH42" s="52"/>
      <c r="BI42" s="52"/>
      <c r="BJ42" s="52"/>
      <c r="BK42" s="52"/>
      <c r="BL42" s="52"/>
      <c r="BM42" s="52"/>
      <c r="BN42" s="52"/>
      <c r="BO42" s="52"/>
      <c r="BP42" s="52"/>
      <c r="BQ42" s="52"/>
      <c r="BR42" s="52"/>
      <c r="BS42" s="52"/>
      <c r="BT42" s="52"/>
      <c r="BU42" s="52"/>
      <c r="BV42" s="52"/>
      <c r="BW42" s="52"/>
      <c r="BX42" s="52"/>
      <c r="BY42" s="52"/>
      <c r="BZ42" s="52"/>
      <c r="CA42" s="52"/>
      <c r="CB42" s="52"/>
      <c r="CC42" s="52"/>
      <c r="CD42" s="52"/>
      <c r="CE42" s="52"/>
      <c r="CF42" s="52"/>
      <c r="CG42" s="52"/>
      <c r="CH42" s="52"/>
      <c r="CI42" s="52"/>
      <c r="CJ42" s="52"/>
      <c r="CK42" s="52"/>
      <c r="CL42" s="52"/>
      <c r="CM42" s="52"/>
      <c r="CN42" s="52"/>
      <c r="CO42" s="52"/>
      <c r="CP42" s="52"/>
      <c r="CQ42" s="52"/>
      <c r="CR42" s="52"/>
      <c r="CS42" s="52"/>
      <c r="CT42" s="52"/>
      <c r="CU42" s="52"/>
      <c r="CV42" s="52"/>
      <c r="CW42" s="52"/>
      <c r="CX42" s="52"/>
      <c r="CY42" s="52"/>
      <c r="CZ42" s="52"/>
      <c r="DA42" s="52"/>
      <c r="DB42" s="52"/>
      <c r="DC42" s="52"/>
      <c r="DD42" s="52"/>
      <c r="DE42" s="52"/>
      <c r="DF42" s="52"/>
      <c r="DG42" s="52"/>
      <c r="DH42" s="52"/>
      <c r="DI42" s="52"/>
      <c r="DJ42" s="52"/>
      <c r="DK42" s="52"/>
      <c r="DL42" s="52"/>
      <c r="DM42" s="52"/>
      <c r="DN42" s="52"/>
      <c r="DO42" s="52"/>
      <c r="DP42" s="52"/>
      <c r="DQ42" s="52"/>
      <c r="DR42" s="52"/>
      <c r="DS42" s="52"/>
      <c r="DT42" s="52"/>
      <c r="DU42" s="52"/>
      <c r="DV42" s="52"/>
      <c r="DW42" s="52"/>
      <c r="DX42" s="52"/>
      <c r="DY42" s="52"/>
      <c r="DZ42" s="52"/>
      <c r="EA42" s="52"/>
      <c r="EB42" s="52"/>
      <c r="EC42" s="52"/>
      <c r="ED42" s="52"/>
      <c r="EE42" s="52"/>
      <c r="EF42" s="52"/>
      <c r="EG42" s="52"/>
      <c r="EH42" s="52"/>
      <c r="EI42" s="52"/>
      <c r="EJ42" s="52"/>
      <c r="EK42" s="52"/>
      <c r="EL42" s="52"/>
      <c r="EM42" s="52"/>
      <c r="EN42" s="52"/>
      <c r="EO42" s="52"/>
      <c r="EP42" s="52"/>
      <c r="EQ42" s="52"/>
      <c r="ER42" s="52"/>
      <c r="ES42" s="52"/>
      <c r="ET42" s="52"/>
      <c r="EU42" s="52"/>
      <c r="EV42" s="52"/>
      <c r="EW42" s="52"/>
      <c r="EX42" s="52"/>
      <c r="EY42" s="52"/>
      <c r="EZ42" s="52"/>
      <c r="FA42" s="52"/>
      <c r="FB42" s="52"/>
      <c r="FC42" s="52"/>
      <c r="FD42" s="52"/>
      <c r="FE42" s="52"/>
      <c r="FF42" s="52"/>
      <c r="FG42" s="52"/>
      <c r="FH42" s="52"/>
      <c r="FI42" s="52"/>
      <c r="FJ42" s="52"/>
      <c r="FK42" s="52"/>
      <c r="FL42" s="52"/>
      <c r="FM42" s="52"/>
      <c r="FN42" s="52"/>
      <c r="FO42" s="52"/>
      <c r="FP42" s="52"/>
      <c r="FQ42" s="52"/>
      <c r="FR42" s="52"/>
      <c r="FS42" s="52"/>
      <c r="FT42" s="52"/>
      <c r="FU42" s="52"/>
      <c r="FV42" s="52"/>
      <c r="FW42" s="52"/>
      <c r="FX42" s="52"/>
      <c r="FY42" s="52"/>
      <c r="FZ42" s="52"/>
      <c r="GA42" s="52"/>
      <c r="GB42" s="52"/>
      <c r="GC42" s="52"/>
      <c r="GD42" s="52"/>
      <c r="GE42" s="52"/>
      <c r="GF42" s="52"/>
      <c r="GG42" s="52"/>
      <c r="GH42" s="52"/>
      <c r="GI42" s="52"/>
      <c r="GJ42" s="52"/>
      <c r="GK42" s="52"/>
      <c r="GL42" s="52"/>
      <c r="GM42" s="52"/>
      <c r="GN42" s="52"/>
      <c r="GO42" s="52"/>
      <c r="GP42" s="52"/>
      <c r="GQ42" s="52"/>
      <c r="GR42" s="52"/>
      <c r="GS42" s="52"/>
      <c r="GT42" s="52"/>
      <c r="GU42" s="52"/>
      <c r="GV42" s="52"/>
      <c r="GW42" s="52"/>
      <c r="GX42" s="52"/>
      <c r="GY42" s="52"/>
      <c r="GZ42" s="52"/>
      <c r="HA42" s="52"/>
      <c r="HB42" s="52"/>
      <c r="HC42" s="52"/>
      <c r="HD42" s="52"/>
      <c r="HE42" s="52"/>
      <c r="HF42" s="52"/>
      <c r="HG42" s="52"/>
      <c r="HH42" s="52"/>
      <c r="HI42" s="52"/>
      <c r="HJ42" s="52"/>
      <c r="HK42" s="52"/>
      <c r="HL42" s="52"/>
      <c r="HM42" s="52"/>
      <c r="HN42" s="52"/>
      <c r="HO42" s="52"/>
      <c r="HP42" s="52"/>
      <c r="HQ42" s="52"/>
      <c r="HR42" s="52"/>
      <c r="HS42" s="52"/>
      <c r="HT42" s="52"/>
      <c r="HU42" s="52"/>
      <c r="HV42" s="52"/>
      <c r="HW42" s="52"/>
      <c r="HX42" s="52"/>
      <c r="HY42" s="52"/>
      <c r="HZ42" s="52"/>
      <c r="IA42" s="52"/>
      <c r="IB42" s="52"/>
      <c r="IC42" s="52"/>
      <c r="ID42" s="52"/>
      <c r="IE42" s="52"/>
      <c r="IF42" s="52"/>
      <c r="IG42" s="52"/>
      <c r="IH42" s="52"/>
      <c r="II42" s="52"/>
      <c r="IJ42" s="52"/>
      <c r="IK42" s="52"/>
      <c r="IL42" s="52"/>
      <c r="IM42" s="52"/>
      <c r="IN42" s="52"/>
      <c r="IO42" s="52"/>
      <c r="IP42" s="52"/>
      <c r="IQ42" s="52"/>
      <c r="IR42" s="52"/>
      <c r="IS42" s="52"/>
      <c r="IT42" s="52"/>
      <c r="IU42" s="52"/>
      <c r="IV42" s="52"/>
    </row>
    <row r="43" spans="1:256" ht="18.75" customHeight="1" x14ac:dyDescent="0.25">
      <c r="A43" s="2" t="s">
        <v>28</v>
      </c>
      <c r="B43" s="52"/>
      <c r="C43" s="52"/>
      <c r="D43" s="52"/>
      <c r="E43" s="52"/>
      <c r="F43" s="52"/>
      <c r="G43" s="52"/>
      <c r="H43" s="52"/>
      <c r="I43" s="52"/>
      <c r="J43" s="52"/>
      <c r="K43" s="52"/>
      <c r="L43" s="52"/>
      <c r="M43" s="52"/>
      <c r="N43" s="52"/>
      <c r="O43" s="52"/>
      <c r="P43" s="52"/>
      <c r="Q43" s="52"/>
      <c r="R43" s="52"/>
      <c r="S43" s="52"/>
      <c r="T43" s="52"/>
      <c r="U43" s="52"/>
      <c r="V43" s="52"/>
      <c r="W43" s="52"/>
      <c r="X43" s="52"/>
      <c r="Y43" s="52"/>
      <c r="Z43" s="52"/>
      <c r="AA43" s="52"/>
      <c r="AB43" s="52"/>
      <c r="AC43" s="52"/>
      <c r="AD43" s="52"/>
      <c r="AE43" s="52"/>
      <c r="AF43" s="52"/>
      <c r="AG43" s="52"/>
      <c r="AH43" s="52"/>
      <c r="AI43" s="52"/>
      <c r="AJ43" s="52"/>
      <c r="AK43" s="52"/>
      <c r="AL43" s="52"/>
      <c r="AM43" s="52"/>
      <c r="AN43" s="52"/>
      <c r="AO43" s="52"/>
      <c r="AP43" s="52"/>
      <c r="AQ43" s="52"/>
      <c r="AR43" s="52"/>
      <c r="AS43" s="52"/>
      <c r="AT43" s="52"/>
      <c r="AU43" s="52"/>
      <c r="AV43" s="52"/>
      <c r="AW43" s="52"/>
      <c r="AX43" s="52"/>
      <c r="AY43" s="52"/>
      <c r="AZ43" s="52"/>
      <c r="BA43" s="52"/>
      <c r="BB43" s="52"/>
      <c r="BC43" s="52"/>
      <c r="BD43" s="52"/>
      <c r="BE43" s="52"/>
      <c r="BF43" s="52"/>
      <c r="BG43" s="52"/>
      <c r="BH43" s="52"/>
      <c r="BI43" s="52"/>
      <c r="BJ43" s="52"/>
      <c r="BK43" s="52"/>
      <c r="BL43" s="52"/>
      <c r="BM43" s="52"/>
      <c r="BN43" s="52"/>
      <c r="BO43" s="52"/>
      <c r="BP43" s="52"/>
      <c r="BQ43" s="52"/>
      <c r="BR43" s="52"/>
      <c r="BS43" s="52"/>
      <c r="BT43" s="52"/>
      <c r="BU43" s="52"/>
      <c r="BV43" s="52"/>
      <c r="BW43" s="52"/>
      <c r="BX43" s="52"/>
      <c r="BY43" s="52"/>
      <c r="BZ43" s="52"/>
      <c r="CA43" s="52"/>
      <c r="CB43" s="52"/>
      <c r="CC43" s="52"/>
      <c r="CD43" s="52"/>
      <c r="CE43" s="52"/>
      <c r="CF43" s="52"/>
      <c r="CG43" s="52"/>
      <c r="CH43" s="52"/>
      <c r="CI43" s="52"/>
      <c r="CJ43" s="52"/>
      <c r="CK43" s="52"/>
      <c r="CL43" s="52"/>
      <c r="CM43" s="52"/>
      <c r="CN43" s="52"/>
      <c r="CO43" s="52"/>
      <c r="CP43" s="52"/>
      <c r="CQ43" s="52"/>
      <c r="CR43" s="52"/>
      <c r="CS43" s="52"/>
      <c r="CT43" s="52"/>
      <c r="CU43" s="52"/>
      <c r="CV43" s="52"/>
      <c r="CW43" s="52"/>
      <c r="CX43" s="52"/>
      <c r="CY43" s="52"/>
      <c r="CZ43" s="52"/>
      <c r="DA43" s="52"/>
      <c r="DB43" s="52"/>
      <c r="DC43" s="52"/>
      <c r="DD43" s="52"/>
      <c r="DE43" s="52"/>
      <c r="DF43" s="52"/>
      <c r="DG43" s="52"/>
      <c r="DH43" s="52"/>
      <c r="DI43" s="52"/>
      <c r="DJ43" s="52"/>
      <c r="DK43" s="52"/>
      <c r="DL43" s="52"/>
      <c r="DM43" s="52"/>
      <c r="DN43" s="52"/>
      <c r="DO43" s="52"/>
      <c r="DP43" s="52"/>
      <c r="DQ43" s="52"/>
      <c r="DR43" s="52"/>
      <c r="DS43" s="52"/>
      <c r="DT43" s="52"/>
      <c r="DU43" s="52"/>
      <c r="DV43" s="52"/>
      <c r="DW43" s="52"/>
      <c r="DX43" s="52"/>
      <c r="DY43" s="52"/>
      <c r="DZ43" s="52"/>
      <c r="EA43" s="52"/>
      <c r="EB43" s="52"/>
      <c r="EC43" s="52"/>
      <c r="ED43" s="52"/>
      <c r="EE43" s="52"/>
      <c r="EF43" s="52"/>
      <c r="EG43" s="52"/>
      <c r="EH43" s="52"/>
      <c r="EI43" s="52"/>
      <c r="EJ43" s="52"/>
      <c r="EK43" s="52"/>
      <c r="EL43" s="52"/>
      <c r="EM43" s="52"/>
      <c r="EN43" s="52"/>
      <c r="EO43" s="52"/>
      <c r="EP43" s="52"/>
      <c r="EQ43" s="52"/>
      <c r="ER43" s="52"/>
      <c r="ES43" s="52"/>
      <c r="ET43" s="52"/>
      <c r="EU43" s="52"/>
      <c r="EV43" s="52"/>
      <c r="EW43" s="52"/>
      <c r="EX43" s="52"/>
      <c r="EY43" s="52"/>
      <c r="EZ43" s="52"/>
      <c r="FA43" s="52"/>
      <c r="FB43" s="52"/>
      <c r="FC43" s="52"/>
      <c r="FD43" s="52"/>
      <c r="FE43" s="52"/>
      <c r="FF43" s="52"/>
      <c r="FG43" s="52"/>
      <c r="FH43" s="52"/>
      <c r="FI43" s="52"/>
      <c r="FJ43" s="52"/>
      <c r="FK43" s="52"/>
      <c r="FL43" s="52"/>
      <c r="FM43" s="52"/>
      <c r="FN43" s="52"/>
      <c r="FO43" s="52"/>
      <c r="FP43" s="52"/>
      <c r="FQ43" s="52"/>
      <c r="FR43" s="52"/>
      <c r="FS43" s="52"/>
      <c r="FT43" s="52"/>
      <c r="FU43" s="52"/>
      <c r="FV43" s="52"/>
      <c r="FW43" s="52"/>
      <c r="FX43" s="52"/>
      <c r="FY43" s="52"/>
      <c r="FZ43" s="52"/>
      <c r="GA43" s="52"/>
      <c r="GB43" s="52"/>
      <c r="GC43" s="52"/>
      <c r="GD43" s="52"/>
      <c r="GE43" s="52"/>
      <c r="GF43" s="52"/>
      <c r="GG43" s="52"/>
      <c r="GH43" s="52"/>
      <c r="GI43" s="52"/>
      <c r="GJ43" s="52"/>
      <c r="GK43" s="52"/>
      <c r="GL43" s="52"/>
      <c r="GM43" s="52"/>
      <c r="GN43" s="52"/>
      <c r="GO43" s="52"/>
      <c r="GP43" s="52"/>
      <c r="GQ43" s="52"/>
      <c r="GR43" s="52"/>
      <c r="GS43" s="52"/>
      <c r="GT43" s="52"/>
      <c r="GU43" s="52"/>
      <c r="GV43" s="52"/>
      <c r="GW43" s="52"/>
      <c r="GX43" s="52"/>
      <c r="GY43" s="52"/>
      <c r="GZ43" s="52"/>
      <c r="HA43" s="52"/>
      <c r="HB43" s="52"/>
      <c r="HC43" s="52"/>
      <c r="HD43" s="52"/>
      <c r="HE43" s="52"/>
      <c r="HF43" s="52"/>
      <c r="HG43" s="52"/>
      <c r="HH43" s="52"/>
      <c r="HI43" s="52"/>
      <c r="HJ43" s="52"/>
      <c r="HK43" s="52"/>
      <c r="HL43" s="52"/>
      <c r="HM43" s="52"/>
      <c r="HN43" s="52"/>
      <c r="HO43" s="52"/>
      <c r="HP43" s="52"/>
      <c r="HQ43" s="52"/>
      <c r="HR43" s="52"/>
      <c r="HS43" s="52"/>
      <c r="HT43" s="52"/>
      <c r="HU43" s="52"/>
      <c r="HV43" s="52"/>
      <c r="HW43" s="52"/>
      <c r="HX43" s="52"/>
      <c r="HY43" s="52"/>
      <c r="HZ43" s="52"/>
      <c r="IA43" s="52"/>
      <c r="IB43" s="52"/>
      <c r="IC43" s="52"/>
      <c r="ID43" s="52"/>
      <c r="IE43" s="52"/>
      <c r="IF43" s="52"/>
      <c r="IG43" s="52"/>
      <c r="IH43" s="52"/>
      <c r="II43" s="52"/>
      <c r="IJ43" s="52"/>
      <c r="IK43" s="52"/>
      <c r="IL43" s="52"/>
      <c r="IM43" s="52"/>
      <c r="IN43" s="52"/>
      <c r="IO43" s="52"/>
      <c r="IP43" s="52"/>
      <c r="IQ43" s="52"/>
      <c r="IR43" s="52"/>
      <c r="IS43" s="52"/>
      <c r="IT43" s="52"/>
      <c r="IU43" s="52"/>
      <c r="IV43" s="52"/>
    </row>
    <row r="44" spans="1:256" ht="17.25" customHeight="1" x14ac:dyDescent="0.25">
      <c r="A44" s="52" t="s">
        <v>352</v>
      </c>
      <c r="B44" s="52"/>
      <c r="C44" s="52"/>
      <c r="D44" s="52"/>
      <c r="E44" s="52"/>
      <c r="F44" s="52"/>
      <c r="G44" s="52"/>
      <c r="H44" s="52"/>
      <c r="I44" s="52"/>
      <c r="J44" s="52"/>
      <c r="K44" s="52"/>
      <c r="L44" s="52"/>
      <c r="M44" s="52"/>
      <c r="N44" s="52"/>
      <c r="O44" s="52"/>
      <c r="P44" s="52"/>
      <c r="Q44" s="52"/>
      <c r="R44" s="52"/>
      <c r="S44" s="52"/>
      <c r="T44" s="52"/>
      <c r="U44" s="52"/>
      <c r="V44" s="52"/>
      <c r="W44" s="52"/>
      <c r="X44" s="52"/>
      <c r="Y44" s="52"/>
      <c r="Z44" s="52"/>
      <c r="AA44" s="52"/>
      <c r="AB44" s="52"/>
      <c r="AC44" s="52"/>
      <c r="AD44" s="52"/>
      <c r="AE44" s="52"/>
      <c r="AF44" s="52"/>
      <c r="AG44" s="52"/>
      <c r="AH44" s="52"/>
      <c r="AI44" s="52"/>
      <c r="AJ44" s="52"/>
      <c r="AK44" s="52"/>
      <c r="AL44" s="52"/>
      <c r="AM44" s="52"/>
      <c r="AN44" s="52"/>
      <c r="AO44" s="52"/>
      <c r="AP44" s="52"/>
      <c r="AQ44" s="52"/>
      <c r="AR44" s="52"/>
      <c r="AS44" s="52"/>
      <c r="AT44" s="52"/>
      <c r="AU44" s="52"/>
      <c r="AV44" s="52"/>
      <c r="AW44" s="52"/>
      <c r="AX44" s="52"/>
      <c r="AY44" s="52"/>
      <c r="AZ44" s="52"/>
      <c r="BA44" s="52"/>
      <c r="BB44" s="52"/>
      <c r="BC44" s="52"/>
      <c r="BD44" s="52"/>
      <c r="BE44" s="52"/>
      <c r="BF44" s="52"/>
      <c r="BG44" s="52"/>
      <c r="BH44" s="52"/>
      <c r="BI44" s="52"/>
      <c r="BJ44" s="52"/>
      <c r="BK44" s="52"/>
      <c r="BL44" s="52"/>
      <c r="BM44" s="52"/>
      <c r="BN44" s="52"/>
      <c r="BO44" s="52"/>
      <c r="BP44" s="52"/>
      <c r="BQ44" s="52"/>
      <c r="BR44" s="52"/>
      <c r="BS44" s="52"/>
      <c r="BT44" s="52"/>
      <c r="BU44" s="52"/>
      <c r="BV44" s="52"/>
      <c r="BW44" s="52"/>
      <c r="BX44" s="52"/>
      <c r="BY44" s="52"/>
      <c r="BZ44" s="52"/>
      <c r="CA44" s="52"/>
      <c r="CB44" s="52"/>
      <c r="CC44" s="52"/>
      <c r="CD44" s="52"/>
      <c r="CE44" s="52"/>
      <c r="CF44" s="52"/>
      <c r="CG44" s="52"/>
      <c r="CH44" s="52"/>
      <c r="CI44" s="52"/>
      <c r="CJ44" s="52"/>
      <c r="CK44" s="52"/>
      <c r="CL44" s="52"/>
      <c r="CM44" s="52"/>
      <c r="CN44" s="52"/>
      <c r="CO44" s="52"/>
      <c r="CP44" s="52"/>
      <c r="CQ44" s="52"/>
      <c r="CR44" s="52"/>
      <c r="CS44" s="52"/>
      <c r="CT44" s="52"/>
      <c r="CU44" s="52"/>
      <c r="CV44" s="52"/>
      <c r="CW44" s="52"/>
      <c r="CX44" s="52"/>
      <c r="CY44" s="52"/>
      <c r="CZ44" s="52"/>
      <c r="DA44" s="52"/>
      <c r="DB44" s="52"/>
      <c r="DC44" s="52"/>
      <c r="DD44" s="52"/>
      <c r="DE44" s="52"/>
      <c r="DF44" s="52"/>
      <c r="DG44" s="52"/>
      <c r="DH44" s="52"/>
      <c r="DI44" s="52"/>
      <c r="DJ44" s="52"/>
      <c r="DK44" s="52"/>
      <c r="DL44" s="52"/>
      <c r="DM44" s="52"/>
      <c r="DN44" s="52"/>
      <c r="DO44" s="52"/>
      <c r="DP44" s="52"/>
      <c r="DQ44" s="52"/>
      <c r="DR44" s="52"/>
      <c r="DS44" s="52"/>
      <c r="DT44" s="52"/>
      <c r="DU44" s="52"/>
      <c r="DV44" s="52"/>
      <c r="DW44" s="52"/>
      <c r="DX44" s="52"/>
      <c r="DY44" s="52"/>
      <c r="DZ44" s="52"/>
      <c r="EA44" s="52"/>
      <c r="EB44" s="52"/>
      <c r="EC44" s="52"/>
      <c r="ED44" s="52"/>
      <c r="EE44" s="52"/>
      <c r="EF44" s="52"/>
      <c r="EG44" s="52"/>
      <c r="EH44" s="52"/>
      <c r="EI44" s="52"/>
      <c r="EJ44" s="52"/>
      <c r="EK44" s="52"/>
      <c r="EL44" s="52"/>
      <c r="EM44" s="52"/>
      <c r="EN44" s="52"/>
      <c r="EO44" s="52"/>
      <c r="EP44" s="52"/>
      <c r="EQ44" s="52"/>
      <c r="ER44" s="52"/>
      <c r="ES44" s="52"/>
      <c r="ET44" s="52"/>
      <c r="EU44" s="52"/>
      <c r="EV44" s="52"/>
      <c r="EW44" s="52"/>
      <c r="EX44" s="52"/>
      <c r="EY44" s="52"/>
      <c r="EZ44" s="52"/>
      <c r="FA44" s="52"/>
      <c r="FB44" s="52"/>
      <c r="FC44" s="52"/>
      <c r="FD44" s="52"/>
      <c r="FE44" s="52"/>
      <c r="FF44" s="52"/>
      <c r="FG44" s="52"/>
      <c r="FH44" s="52"/>
      <c r="FI44" s="52"/>
      <c r="FJ44" s="52"/>
      <c r="FK44" s="52"/>
      <c r="FL44" s="52"/>
      <c r="FM44" s="52"/>
      <c r="FN44" s="52"/>
      <c r="FO44" s="52"/>
      <c r="FP44" s="52"/>
      <c r="FQ44" s="52"/>
      <c r="FR44" s="52"/>
      <c r="FS44" s="52"/>
      <c r="FT44" s="52"/>
      <c r="FU44" s="52"/>
      <c r="FV44" s="52"/>
      <c r="FW44" s="52"/>
      <c r="FX44" s="52"/>
      <c r="FY44" s="52"/>
      <c r="FZ44" s="52"/>
      <c r="GA44" s="52"/>
      <c r="GB44" s="52"/>
      <c r="GC44" s="52"/>
      <c r="GD44" s="52"/>
      <c r="GE44" s="52"/>
      <c r="GF44" s="52"/>
      <c r="GG44" s="52"/>
      <c r="GH44" s="52"/>
      <c r="GI44" s="52"/>
      <c r="GJ44" s="52"/>
      <c r="GK44" s="52"/>
      <c r="GL44" s="52"/>
      <c r="GM44" s="52"/>
      <c r="GN44" s="52"/>
      <c r="GO44" s="52"/>
      <c r="GP44" s="52"/>
      <c r="GQ44" s="52"/>
      <c r="GR44" s="52"/>
      <c r="GS44" s="52"/>
      <c r="GT44" s="52"/>
      <c r="GU44" s="52"/>
      <c r="GV44" s="52"/>
      <c r="GW44" s="52"/>
      <c r="GX44" s="52"/>
      <c r="GY44" s="52"/>
      <c r="GZ44" s="52"/>
      <c r="HA44" s="52"/>
      <c r="HB44" s="52"/>
      <c r="HC44" s="52"/>
      <c r="HD44" s="52"/>
      <c r="HE44" s="52"/>
      <c r="HF44" s="52"/>
      <c r="HG44" s="52"/>
      <c r="HH44" s="52"/>
      <c r="HI44" s="52"/>
      <c r="HJ44" s="52"/>
      <c r="HK44" s="52"/>
      <c r="HL44" s="52"/>
      <c r="HM44" s="52"/>
      <c r="HN44" s="52"/>
      <c r="HO44" s="52"/>
      <c r="HP44" s="52"/>
      <c r="HQ44" s="52"/>
      <c r="HR44" s="52"/>
      <c r="HS44" s="52"/>
      <c r="HT44" s="52"/>
      <c r="HU44" s="52"/>
      <c r="HV44" s="52"/>
      <c r="HW44" s="52"/>
      <c r="HX44" s="52"/>
      <c r="HY44" s="52"/>
      <c r="HZ44" s="52"/>
      <c r="IA44" s="52"/>
      <c r="IB44" s="52"/>
      <c r="IC44" s="52"/>
      <c r="ID44" s="52"/>
      <c r="IE44" s="52"/>
      <c r="IF44" s="52"/>
      <c r="IG44" s="52"/>
      <c r="IH44" s="52"/>
      <c r="II44" s="52"/>
      <c r="IJ44" s="52"/>
      <c r="IK44" s="52"/>
      <c r="IL44" s="52"/>
      <c r="IM44" s="52"/>
      <c r="IN44" s="52"/>
      <c r="IO44" s="52"/>
      <c r="IP44" s="52"/>
      <c r="IQ44" s="52"/>
      <c r="IR44" s="52"/>
      <c r="IS44" s="52"/>
      <c r="IT44" s="52"/>
      <c r="IU44" s="52"/>
      <c r="IV44" s="52"/>
    </row>
  </sheetData>
  <mergeCells count="48">
    <mergeCell ref="C1:I1"/>
    <mergeCell ref="A12:I12"/>
    <mergeCell ref="A13:I13"/>
    <mergeCell ref="A15:I15"/>
    <mergeCell ref="B17:C17"/>
    <mergeCell ref="D17:G17"/>
    <mergeCell ref="B18:C18"/>
    <mergeCell ref="D18:G18"/>
    <mergeCell ref="B19:C19"/>
    <mergeCell ref="D19:G19"/>
    <mergeCell ref="B20:C20"/>
    <mergeCell ref="D20:G20"/>
    <mergeCell ref="B21:C21"/>
    <mergeCell ref="D21:G21"/>
    <mergeCell ref="B22:C22"/>
    <mergeCell ref="D22:G22"/>
    <mergeCell ref="B23:C23"/>
    <mergeCell ref="D23:G23"/>
    <mergeCell ref="B24:C24"/>
    <mergeCell ref="D24:G24"/>
    <mergeCell ref="B25:C25"/>
    <mergeCell ref="D25:G25"/>
    <mergeCell ref="B26:C26"/>
    <mergeCell ref="D26:G26"/>
    <mergeCell ref="B27:C27"/>
    <mergeCell ref="D27:G27"/>
    <mergeCell ref="B28:C28"/>
    <mergeCell ref="D28:G28"/>
    <mergeCell ref="B29:C29"/>
    <mergeCell ref="D29:G29"/>
    <mergeCell ref="B30:C30"/>
    <mergeCell ref="D30:G30"/>
    <mergeCell ref="B31:C31"/>
    <mergeCell ref="D31:G31"/>
    <mergeCell ref="B32:C32"/>
    <mergeCell ref="D32:G32"/>
    <mergeCell ref="B33:C33"/>
    <mergeCell ref="D33:G33"/>
    <mergeCell ref="B34:C34"/>
    <mergeCell ref="D34:G34"/>
    <mergeCell ref="B35:C35"/>
    <mergeCell ref="D35:G35"/>
    <mergeCell ref="B36:C36"/>
    <mergeCell ref="D36:G36"/>
    <mergeCell ref="B37:C37"/>
    <mergeCell ref="D37:G37"/>
    <mergeCell ref="B38:C38"/>
    <mergeCell ref="D38:G38"/>
  </mergeCells>
  <pageMargins left="0.11811023622047245" right="0.19685039370078741" top="7.874015748031496E-2" bottom="0.19685039370078741" header="0.31496062992125984" footer="0.31496062992125984"/>
  <pageSetup paperSize="9" orientation="portrait" useFirstPageNumber="1" r:id="rId1"/>
  <headerFooter alignWithMargins="0">
    <oddFooter>&amp;CСтраница &amp;P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4"/>
  <sheetViews>
    <sheetView topLeftCell="A7" zoomScaleNormal="100" workbookViewId="0">
      <selection activeCell="E21" sqref="E21"/>
    </sheetView>
  </sheetViews>
  <sheetFormatPr defaultRowHeight="15.75" x14ac:dyDescent="0.25"/>
  <cols>
    <col min="1" max="1" width="4.7109375" style="1" customWidth="1"/>
    <col min="2" max="2" width="26.140625" style="1" customWidth="1"/>
    <col min="3" max="3" width="33" style="1" customWidth="1"/>
    <col min="4" max="4" width="26.7109375" style="1" customWidth="1"/>
    <col min="5" max="5" width="11.85546875" style="1" customWidth="1"/>
    <col min="6" max="16384" width="9.140625" style="1"/>
  </cols>
  <sheetData>
    <row r="1" spans="1:5" x14ac:dyDescent="0.25">
      <c r="B1" s="188" t="s">
        <v>0</v>
      </c>
      <c r="C1" s="188"/>
      <c r="D1" s="188"/>
    </row>
    <row r="3" spans="1:5" x14ac:dyDescent="0.25">
      <c r="A3" s="1" t="s">
        <v>1</v>
      </c>
      <c r="D3" s="2" t="s">
        <v>2</v>
      </c>
      <c r="E3" s="3"/>
    </row>
    <row r="4" spans="1:5" x14ac:dyDescent="0.25">
      <c r="A4" s="1" t="s">
        <v>3</v>
      </c>
      <c r="D4" s="2" t="s">
        <v>4</v>
      </c>
      <c r="E4" s="3"/>
    </row>
    <row r="5" spans="1:5" x14ac:dyDescent="0.25">
      <c r="A5" s="1" t="s">
        <v>5</v>
      </c>
      <c r="D5" s="2" t="s">
        <v>6</v>
      </c>
      <c r="E5" s="3"/>
    </row>
    <row r="6" spans="1:5" x14ac:dyDescent="0.25">
      <c r="D6" s="3"/>
      <c r="E6" s="3"/>
    </row>
    <row r="7" spans="1:5" x14ac:dyDescent="0.25">
      <c r="A7" s="4" t="s">
        <v>54</v>
      </c>
      <c r="D7" s="2" t="s">
        <v>8</v>
      </c>
      <c r="E7" s="3"/>
    </row>
    <row r="8" spans="1:5" x14ac:dyDescent="0.25">
      <c r="A8" s="4" t="s">
        <v>45</v>
      </c>
      <c r="D8" s="2" t="str">
        <f>A8</f>
        <v>"___" ___________ 2018 г.</v>
      </c>
      <c r="E8" s="3"/>
    </row>
    <row r="9" spans="1:5" x14ac:dyDescent="0.25">
      <c r="A9" s="4"/>
      <c r="D9" s="5"/>
      <c r="E9" s="6"/>
    </row>
    <row r="10" spans="1:5" ht="18" customHeight="1" x14ac:dyDescent="0.25">
      <c r="A10" s="189" t="s">
        <v>10</v>
      </c>
      <c r="B10" s="189"/>
      <c r="C10" s="189"/>
      <c r="D10" s="189"/>
      <c r="E10" s="189"/>
    </row>
    <row r="11" spans="1:5" x14ac:dyDescent="0.25">
      <c r="C11" s="7" t="s">
        <v>11</v>
      </c>
    </row>
    <row r="12" spans="1:5" x14ac:dyDescent="0.25">
      <c r="C12" s="7"/>
    </row>
    <row r="13" spans="1:5" ht="33" customHeight="1" x14ac:dyDescent="0.25">
      <c r="A13" s="190" t="s">
        <v>50</v>
      </c>
      <c r="B13" s="190"/>
      <c r="C13" s="190"/>
      <c r="D13" s="190"/>
      <c r="E13" s="190"/>
    </row>
    <row r="14" spans="1:5" ht="0.75" customHeight="1" x14ac:dyDescent="0.25">
      <c r="A14" s="190"/>
      <c r="B14" s="190"/>
      <c r="C14" s="190"/>
      <c r="D14" s="190"/>
      <c r="E14" s="190"/>
    </row>
    <row r="15" spans="1:5" x14ac:dyDescent="0.25">
      <c r="A15" s="8"/>
      <c r="B15" s="8"/>
      <c r="C15" s="8"/>
      <c r="D15" s="8"/>
      <c r="E15" s="8"/>
    </row>
    <row r="16" spans="1:5" ht="95.25" customHeight="1" x14ac:dyDescent="0.25">
      <c r="A16" s="9" t="s">
        <v>12</v>
      </c>
      <c r="B16" s="9" t="s">
        <v>13</v>
      </c>
      <c r="C16" s="9" t="s">
        <v>14</v>
      </c>
      <c r="D16" s="9" t="s">
        <v>15</v>
      </c>
      <c r="E16" s="9" t="s">
        <v>16</v>
      </c>
    </row>
    <row r="17" spans="1:5" ht="123.75" customHeight="1" x14ac:dyDescent="0.25">
      <c r="A17" s="10">
        <v>1</v>
      </c>
      <c r="B17" s="11" t="s">
        <v>51</v>
      </c>
      <c r="C17" s="11" t="s">
        <v>52</v>
      </c>
      <c r="D17" s="12" t="s">
        <v>53</v>
      </c>
      <c r="E17" s="13">
        <f>3524.49*2.4*1.2*0.805*3.99</f>
        <v>32602.998687840001</v>
      </c>
    </row>
    <row r="18" spans="1:5" ht="57.75" customHeight="1" x14ac:dyDescent="0.25">
      <c r="A18" s="10">
        <v>2</v>
      </c>
      <c r="B18" s="14" t="s">
        <v>17</v>
      </c>
      <c r="C18" s="12" t="s">
        <v>18</v>
      </c>
      <c r="D18" s="12" t="s">
        <v>19</v>
      </c>
      <c r="E18" s="13">
        <f>800*1*0.5*3.99</f>
        <v>1596</v>
      </c>
    </row>
    <row r="19" spans="1:5" ht="48" customHeight="1" x14ac:dyDescent="0.25">
      <c r="A19" s="10">
        <v>3</v>
      </c>
      <c r="B19" s="12" t="s">
        <v>20</v>
      </c>
      <c r="C19" s="15" t="s">
        <v>21</v>
      </c>
      <c r="D19" s="16">
        <f>(E17+E18)*0.1</f>
        <v>3419.8998687840003</v>
      </c>
      <c r="E19" s="17">
        <f>D19</f>
        <v>3419.8998687840003</v>
      </c>
    </row>
    <row r="20" spans="1:5" ht="48" customHeight="1" x14ac:dyDescent="0.25">
      <c r="A20" s="10">
        <v>4</v>
      </c>
      <c r="B20" s="12" t="s">
        <v>22</v>
      </c>
      <c r="C20" s="15"/>
      <c r="D20" s="16"/>
      <c r="E20" s="17">
        <v>5000</v>
      </c>
    </row>
    <row r="21" spans="1:5" ht="48" customHeight="1" x14ac:dyDescent="0.25">
      <c r="A21" s="10">
        <v>5</v>
      </c>
      <c r="B21" s="12" t="s">
        <v>23</v>
      </c>
      <c r="C21" s="15"/>
      <c r="D21" s="16"/>
      <c r="E21" s="17">
        <v>54051</v>
      </c>
    </row>
    <row r="22" spans="1:5" x14ac:dyDescent="0.25">
      <c r="A22" s="18"/>
      <c r="B22" s="19" t="s">
        <v>24</v>
      </c>
      <c r="C22" s="15"/>
      <c r="D22" s="15"/>
      <c r="E22" s="17">
        <f>E21+E20+E19+E18+E17</f>
        <v>96669.898556624001</v>
      </c>
    </row>
    <row r="23" spans="1:5" x14ac:dyDescent="0.25">
      <c r="A23" s="18"/>
      <c r="B23" s="19" t="s">
        <v>25</v>
      </c>
      <c r="C23" s="15"/>
      <c r="D23" s="15"/>
      <c r="E23" s="17">
        <f>ROUND(E22*18%,2)</f>
        <v>17400.580000000002</v>
      </c>
    </row>
    <row r="24" spans="1:5" x14ac:dyDescent="0.25">
      <c r="A24" s="18"/>
      <c r="B24" s="19" t="s">
        <v>26</v>
      </c>
      <c r="C24" s="15"/>
      <c r="D24" s="15"/>
      <c r="E24" s="17">
        <f>E22+E23</f>
        <v>114070.478556624</v>
      </c>
    </row>
    <row r="25" spans="1:5" x14ac:dyDescent="0.25">
      <c r="A25" s="20"/>
      <c r="B25" s="21"/>
      <c r="C25" s="22"/>
      <c r="D25" s="22"/>
      <c r="E25" s="23"/>
    </row>
    <row r="26" spans="1:5" x14ac:dyDescent="0.25">
      <c r="A26" s="1" t="s">
        <v>2</v>
      </c>
    </row>
    <row r="27" spans="1:5" x14ac:dyDescent="0.25">
      <c r="A27" s="1" t="s">
        <v>27</v>
      </c>
    </row>
    <row r="28" spans="1:5" x14ac:dyDescent="0.25">
      <c r="A28" s="1" t="s">
        <v>31</v>
      </c>
    </row>
    <row r="29" spans="1:5" x14ac:dyDescent="0.25">
      <c r="A29" s="4" t="s">
        <v>28</v>
      </c>
    </row>
    <row r="30" spans="1:5" x14ac:dyDescent="0.25">
      <c r="A30" s="1" t="s">
        <v>29</v>
      </c>
    </row>
    <row r="34" spans="5:5" x14ac:dyDescent="0.25">
      <c r="E34" s="1" t="s">
        <v>30</v>
      </c>
    </row>
  </sheetData>
  <mergeCells count="4">
    <mergeCell ref="B1:D1"/>
    <mergeCell ref="A10:E10"/>
    <mergeCell ref="A13:E13"/>
    <mergeCell ref="A14:E14"/>
  </mergeCells>
  <pageMargins left="0.19685039370078741" right="0.19685039370078741" top="0.19685039370078741" bottom="0.19685039370078741" header="0.51181102362204722" footer="0.51181102362204722"/>
  <pageSetup paperSize="9" orientation="portrait" r:id="rId1"/>
  <headerFooter alignWithMargins="0"/>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2"/>
  <sheetViews>
    <sheetView topLeftCell="A10" zoomScaleNormal="100" workbookViewId="0">
      <selection activeCell="C25" sqref="C25"/>
    </sheetView>
  </sheetViews>
  <sheetFormatPr defaultRowHeight="15.75" x14ac:dyDescent="0.25"/>
  <cols>
    <col min="1" max="1" width="4.7109375" style="1" customWidth="1"/>
    <col min="2" max="2" width="26.140625" style="1" customWidth="1"/>
    <col min="3" max="3" width="33" style="1" customWidth="1"/>
    <col min="4" max="4" width="26.5703125" style="1" customWidth="1"/>
    <col min="5" max="5" width="11.85546875" style="1" customWidth="1"/>
    <col min="6" max="16384" width="9.140625" style="1"/>
  </cols>
  <sheetData>
    <row r="1" spans="1:5" x14ac:dyDescent="0.25">
      <c r="B1" s="188" t="s">
        <v>327</v>
      </c>
      <c r="C1" s="188"/>
      <c r="D1" s="188"/>
    </row>
    <row r="3" spans="1:5" x14ac:dyDescent="0.25">
      <c r="A3" s="92" t="s">
        <v>230</v>
      </c>
      <c r="B3" s="93"/>
      <c r="C3" s="94"/>
      <c r="D3" s="92" t="s">
        <v>231</v>
      </c>
      <c r="E3"/>
    </row>
    <row r="4" spans="1:5" x14ac:dyDescent="0.25">
      <c r="A4" s="95" t="s">
        <v>232</v>
      </c>
      <c r="B4" s="96"/>
      <c r="C4" s="94"/>
      <c r="D4" s="95" t="s">
        <v>233</v>
      </c>
      <c r="E4"/>
    </row>
    <row r="5" spans="1:5" x14ac:dyDescent="0.25">
      <c r="A5" s="97" t="s">
        <v>4</v>
      </c>
      <c r="B5" s="98"/>
      <c r="C5" s="20"/>
      <c r="D5" s="97" t="s">
        <v>183</v>
      </c>
      <c r="E5" s="99"/>
    </row>
    <row r="6" spans="1:5" x14ac:dyDescent="0.25">
      <c r="A6" s="97" t="s">
        <v>235</v>
      </c>
      <c r="B6" s="98"/>
      <c r="C6" s="100"/>
      <c r="D6" s="97" t="s">
        <v>5</v>
      </c>
      <c r="E6" s="101"/>
    </row>
    <row r="7" spans="1:5" x14ac:dyDescent="0.25">
      <c r="A7"/>
      <c r="B7" s="102"/>
      <c r="C7"/>
      <c r="D7" s="97"/>
      <c r="E7" s="99"/>
    </row>
    <row r="8" spans="1:5" x14ac:dyDescent="0.25">
      <c r="A8" s="97" t="s">
        <v>236</v>
      </c>
      <c r="B8" s="98"/>
      <c r="D8" s="97" t="s">
        <v>237</v>
      </c>
      <c r="E8" s="99"/>
    </row>
    <row r="9" spans="1:5" x14ac:dyDescent="0.25">
      <c r="A9" s="97" t="s">
        <v>326</v>
      </c>
      <c r="B9" s="98"/>
      <c r="D9" s="97" t="s">
        <v>325</v>
      </c>
      <c r="E9" s="98"/>
    </row>
    <row r="10" spans="1:5" x14ac:dyDescent="0.25">
      <c r="A10" s="4"/>
      <c r="D10" s="5"/>
      <c r="E10" s="6"/>
    </row>
    <row r="11" spans="1:5" ht="18" customHeight="1" x14ac:dyDescent="0.25">
      <c r="A11" s="189" t="s">
        <v>10</v>
      </c>
      <c r="B11" s="189"/>
      <c r="C11" s="189"/>
      <c r="D11" s="189"/>
      <c r="E11" s="189"/>
    </row>
    <row r="12" spans="1:5" x14ac:dyDescent="0.25">
      <c r="C12" s="143" t="s">
        <v>159</v>
      </c>
    </row>
    <row r="13" spans="1:5" x14ac:dyDescent="0.25">
      <c r="C13" s="7"/>
    </row>
    <row r="14" spans="1:5" ht="40.5" customHeight="1" x14ac:dyDescent="0.25">
      <c r="A14" s="190" t="s">
        <v>373</v>
      </c>
      <c r="B14" s="190"/>
      <c r="C14" s="190"/>
      <c r="D14" s="190"/>
      <c r="E14" s="190"/>
    </row>
    <row r="15" spans="1:5" x14ac:dyDescent="0.25">
      <c r="A15" s="8"/>
      <c r="B15" s="8"/>
      <c r="C15" s="8"/>
      <c r="D15" s="8"/>
      <c r="E15" s="8"/>
    </row>
    <row r="16" spans="1:5" ht="95.25" customHeight="1" x14ac:dyDescent="0.25">
      <c r="A16" s="9" t="s">
        <v>12</v>
      </c>
      <c r="B16" s="9" t="s">
        <v>13</v>
      </c>
      <c r="C16" s="9" t="s">
        <v>14</v>
      </c>
      <c r="D16" s="9" t="s">
        <v>15</v>
      </c>
      <c r="E16" s="9" t="s">
        <v>16</v>
      </c>
    </row>
    <row r="17" spans="1:5" ht="123.75" customHeight="1" x14ac:dyDescent="0.25">
      <c r="A17" s="10">
        <v>1</v>
      </c>
      <c r="B17" s="11" t="s">
        <v>374</v>
      </c>
      <c r="C17" s="11" t="s">
        <v>375</v>
      </c>
      <c r="D17" s="12" t="s">
        <v>376</v>
      </c>
      <c r="E17" s="13">
        <f>822.43*2.4*1.2*0.805*4.15</f>
        <v>7912.8951048000008</v>
      </c>
    </row>
    <row r="18" spans="1:5" ht="65.25" customHeight="1" x14ac:dyDescent="0.25">
      <c r="A18" s="10">
        <v>2</v>
      </c>
      <c r="B18" s="144" t="s">
        <v>17</v>
      </c>
      <c r="C18" s="12" t="s">
        <v>18</v>
      </c>
      <c r="D18" s="12" t="s">
        <v>365</v>
      </c>
      <c r="E18" s="13">
        <f>800*1*0.5*4.15</f>
        <v>1660.0000000000002</v>
      </c>
    </row>
    <row r="19" spans="1:5" ht="48" customHeight="1" x14ac:dyDescent="0.25">
      <c r="A19" s="10">
        <v>3</v>
      </c>
      <c r="B19" s="12" t="s">
        <v>20</v>
      </c>
      <c r="C19" s="15" t="s">
        <v>21</v>
      </c>
      <c r="D19" s="16">
        <f>(E17+E18)*0.1</f>
        <v>957.28951048000022</v>
      </c>
      <c r="E19" s="17">
        <f>D19</f>
        <v>957.28951048000022</v>
      </c>
    </row>
    <row r="20" spans="1:5" x14ac:dyDescent="0.25">
      <c r="A20" s="28">
        <v>4</v>
      </c>
      <c r="B20" s="19" t="s">
        <v>24</v>
      </c>
      <c r="C20" s="15"/>
      <c r="D20" s="15" t="s">
        <v>257</v>
      </c>
      <c r="E20" s="17">
        <f>E19+E18+E17</f>
        <v>10530.184615280001</v>
      </c>
    </row>
    <row r="21" spans="1:5" x14ac:dyDescent="0.25">
      <c r="A21" s="28">
        <v>5</v>
      </c>
      <c r="B21" s="19" t="s">
        <v>249</v>
      </c>
      <c r="C21" s="15"/>
      <c r="D21" s="15" t="s">
        <v>258</v>
      </c>
      <c r="E21" s="17">
        <f>ROUND(E20*20%,2)</f>
        <v>2106.04</v>
      </c>
    </row>
    <row r="22" spans="1:5" x14ac:dyDescent="0.25">
      <c r="A22" s="28">
        <v>6</v>
      </c>
      <c r="B22" s="19" t="s">
        <v>26</v>
      </c>
      <c r="C22" s="15"/>
      <c r="D22" s="15" t="s">
        <v>259</v>
      </c>
      <c r="E22" s="17">
        <f>E20+E21</f>
        <v>12636.22461528</v>
      </c>
    </row>
    <row r="23" spans="1:5" x14ac:dyDescent="0.25">
      <c r="A23" s="20"/>
      <c r="B23" s="21"/>
      <c r="C23" s="22"/>
      <c r="D23" s="22"/>
      <c r="E23" s="23"/>
    </row>
    <row r="24" spans="1:5" x14ac:dyDescent="0.25">
      <c r="A24" s="1" t="s">
        <v>2</v>
      </c>
    </row>
    <row r="25" spans="1:5" x14ac:dyDescent="0.25">
      <c r="A25" s="1" t="s">
        <v>27</v>
      </c>
    </row>
    <row r="26" spans="1:5" x14ac:dyDescent="0.25">
      <c r="A26" s="1" t="s">
        <v>31</v>
      </c>
    </row>
    <row r="27" spans="1:5" x14ac:dyDescent="0.25">
      <c r="A27" s="4" t="s">
        <v>28</v>
      </c>
    </row>
    <row r="28" spans="1:5" x14ac:dyDescent="0.25">
      <c r="A28" s="1" t="s">
        <v>352</v>
      </c>
    </row>
    <row r="32" spans="1:5" x14ac:dyDescent="0.25">
      <c r="E32" s="1" t="s">
        <v>30</v>
      </c>
    </row>
  </sheetData>
  <mergeCells count="3">
    <mergeCell ref="B1:D1"/>
    <mergeCell ref="A11:E11"/>
    <mergeCell ref="A14:E14"/>
  </mergeCells>
  <pageMargins left="0.19685039370078741" right="0.19685039370078741" top="0.19685039370078741" bottom="0.19685039370078741" header="0.51181102362204722" footer="0.51181102362204722"/>
  <pageSetup paperSize="9" orientation="portrait" r:id="rId1"/>
  <headerFooter alignWithMargins="0"/>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4"/>
  <sheetViews>
    <sheetView topLeftCell="A7" zoomScaleNormal="100" workbookViewId="0">
      <selection activeCell="C25" sqref="C25"/>
    </sheetView>
  </sheetViews>
  <sheetFormatPr defaultRowHeight="15.75" x14ac:dyDescent="0.25"/>
  <cols>
    <col min="1" max="1" width="4.7109375" style="1" customWidth="1"/>
    <col min="2" max="2" width="26.140625" style="1" customWidth="1"/>
    <col min="3" max="3" width="33" style="1" customWidth="1"/>
    <col min="4" max="4" width="26.5703125" style="1" customWidth="1"/>
    <col min="5" max="5" width="11.85546875" style="1" customWidth="1"/>
    <col min="6" max="16384" width="9.140625" style="1"/>
  </cols>
  <sheetData>
    <row r="1" spans="1:5" x14ac:dyDescent="0.25">
      <c r="B1" s="188" t="s">
        <v>327</v>
      </c>
      <c r="C1" s="188"/>
      <c r="D1" s="188"/>
    </row>
    <row r="3" spans="1:5" x14ac:dyDescent="0.25">
      <c r="A3" s="92" t="s">
        <v>230</v>
      </c>
      <c r="B3" s="93"/>
      <c r="C3" s="94"/>
      <c r="D3" s="92" t="s">
        <v>231</v>
      </c>
      <c r="E3"/>
    </row>
    <row r="4" spans="1:5" x14ac:dyDescent="0.25">
      <c r="A4" s="95" t="s">
        <v>232</v>
      </c>
      <c r="B4" s="96"/>
      <c r="C4" s="94"/>
      <c r="D4" s="95" t="s">
        <v>233</v>
      </c>
      <c r="E4"/>
    </row>
    <row r="5" spans="1:5" x14ac:dyDescent="0.25">
      <c r="A5" s="97" t="s">
        <v>4</v>
      </c>
      <c r="B5" s="98"/>
      <c r="C5" s="20"/>
      <c r="D5" s="97" t="s">
        <v>183</v>
      </c>
      <c r="E5" s="99"/>
    </row>
    <row r="6" spans="1:5" x14ac:dyDescent="0.25">
      <c r="A6" s="97" t="s">
        <v>235</v>
      </c>
      <c r="B6" s="98"/>
      <c r="C6" s="100"/>
      <c r="D6" s="97" t="s">
        <v>5</v>
      </c>
      <c r="E6" s="101"/>
    </row>
    <row r="7" spans="1:5" x14ac:dyDescent="0.25">
      <c r="A7"/>
      <c r="B7" s="102"/>
      <c r="C7"/>
      <c r="D7" s="97"/>
      <c r="E7" s="99"/>
    </row>
    <row r="8" spans="1:5" x14ac:dyDescent="0.25">
      <c r="A8" s="97" t="s">
        <v>236</v>
      </c>
      <c r="B8" s="98"/>
      <c r="D8" s="97" t="s">
        <v>237</v>
      </c>
      <c r="E8" s="99"/>
    </row>
    <row r="9" spans="1:5" x14ac:dyDescent="0.25">
      <c r="A9" s="97" t="s">
        <v>326</v>
      </c>
      <c r="B9" s="98"/>
      <c r="D9" s="97" t="s">
        <v>325</v>
      </c>
      <c r="E9" s="98"/>
    </row>
    <row r="10" spans="1:5" x14ac:dyDescent="0.25">
      <c r="A10" s="4"/>
      <c r="D10" s="5"/>
      <c r="E10" s="6"/>
    </row>
    <row r="11" spans="1:5" ht="18" customHeight="1" x14ac:dyDescent="0.25">
      <c r="A11" s="189" t="s">
        <v>10</v>
      </c>
      <c r="B11" s="189"/>
      <c r="C11" s="189"/>
      <c r="D11" s="189"/>
      <c r="E11" s="189"/>
    </row>
    <row r="12" spans="1:5" x14ac:dyDescent="0.25">
      <c r="C12" s="145" t="s">
        <v>159</v>
      </c>
    </row>
    <row r="13" spans="1:5" x14ac:dyDescent="0.25">
      <c r="C13" s="7"/>
    </row>
    <row r="14" spans="1:5" ht="40.5" customHeight="1" x14ac:dyDescent="0.25">
      <c r="A14" s="190" t="s">
        <v>380</v>
      </c>
      <c r="B14" s="190"/>
      <c r="C14" s="190"/>
      <c r="D14" s="190"/>
      <c r="E14" s="190"/>
    </row>
    <row r="15" spans="1:5" x14ac:dyDescent="0.25">
      <c r="A15" s="8"/>
      <c r="B15" s="8"/>
      <c r="C15" s="8"/>
      <c r="D15" s="8"/>
      <c r="E15" s="8"/>
    </row>
    <row r="16" spans="1:5" ht="95.25" customHeight="1" x14ac:dyDescent="0.25">
      <c r="A16" s="9" t="s">
        <v>12</v>
      </c>
      <c r="B16" s="9" t="s">
        <v>13</v>
      </c>
      <c r="C16" s="9" t="s">
        <v>14</v>
      </c>
      <c r="D16" s="9" t="s">
        <v>15</v>
      </c>
      <c r="E16" s="9" t="s">
        <v>16</v>
      </c>
    </row>
    <row r="17" spans="1:5" ht="123.75" customHeight="1" x14ac:dyDescent="0.25">
      <c r="A17" s="10">
        <v>1</v>
      </c>
      <c r="B17" s="11" t="s">
        <v>377</v>
      </c>
      <c r="C17" s="11" t="s">
        <v>378</v>
      </c>
      <c r="D17" s="12" t="s">
        <v>379</v>
      </c>
      <c r="E17" s="13">
        <f>3283.08*2.4*1.2*0.805*4.15</f>
        <v>31587.694588800005</v>
      </c>
    </row>
    <row r="18" spans="1:5" ht="65.25" customHeight="1" x14ac:dyDescent="0.25">
      <c r="A18" s="10">
        <v>2</v>
      </c>
      <c r="B18" s="146" t="s">
        <v>17</v>
      </c>
      <c r="C18" s="12" t="s">
        <v>18</v>
      </c>
      <c r="D18" s="12" t="s">
        <v>365</v>
      </c>
      <c r="E18" s="13">
        <f>800*1*0.5*4.15</f>
        <v>1660.0000000000002</v>
      </c>
    </row>
    <row r="19" spans="1:5" ht="48" customHeight="1" x14ac:dyDescent="0.25">
      <c r="A19" s="10">
        <v>3</v>
      </c>
      <c r="B19" s="12" t="s">
        <v>20</v>
      </c>
      <c r="C19" s="15" t="s">
        <v>21</v>
      </c>
      <c r="D19" s="16">
        <f>(E17+E18)*0.1</f>
        <v>3324.7694588800005</v>
      </c>
      <c r="E19" s="17">
        <f>D19</f>
        <v>3324.7694588800005</v>
      </c>
    </row>
    <row r="20" spans="1:5" ht="48" customHeight="1" x14ac:dyDescent="0.25">
      <c r="A20" s="10">
        <v>4</v>
      </c>
      <c r="B20" s="119" t="s">
        <v>80</v>
      </c>
      <c r="C20" s="12" t="s">
        <v>89</v>
      </c>
      <c r="D20" s="16"/>
      <c r="E20" s="17">
        <v>5000</v>
      </c>
    </row>
    <row r="21" spans="1:5" ht="48" customHeight="1" x14ac:dyDescent="0.25">
      <c r="A21" s="10">
        <v>5</v>
      </c>
      <c r="B21" s="119" t="s">
        <v>23</v>
      </c>
      <c r="C21" s="118"/>
      <c r="D21" s="16"/>
      <c r="E21" s="17">
        <v>29981.26</v>
      </c>
    </row>
    <row r="22" spans="1:5" x14ac:dyDescent="0.25">
      <c r="A22" s="28">
        <v>6</v>
      </c>
      <c r="B22" s="19" t="s">
        <v>24</v>
      </c>
      <c r="C22" s="15"/>
      <c r="D22" s="15" t="s">
        <v>287</v>
      </c>
      <c r="E22" s="17">
        <f>E19+E18+E17+E20+E21</f>
        <v>71553.724047680007</v>
      </c>
    </row>
    <row r="23" spans="1:5" x14ac:dyDescent="0.25">
      <c r="A23" s="28">
        <v>7</v>
      </c>
      <c r="B23" s="19" t="s">
        <v>249</v>
      </c>
      <c r="C23" s="15"/>
      <c r="D23" s="15" t="s">
        <v>288</v>
      </c>
      <c r="E23" s="17">
        <f>ROUND(E22*20%,2)</f>
        <v>14310.74</v>
      </c>
    </row>
    <row r="24" spans="1:5" x14ac:dyDescent="0.25">
      <c r="A24" s="28">
        <v>8</v>
      </c>
      <c r="B24" s="19" t="s">
        <v>26</v>
      </c>
      <c r="C24" s="15"/>
      <c r="D24" s="15" t="s">
        <v>289</v>
      </c>
      <c r="E24" s="17">
        <f>E22+E23</f>
        <v>85864.464047680012</v>
      </c>
    </row>
    <row r="25" spans="1:5" x14ac:dyDescent="0.25">
      <c r="A25" s="20"/>
      <c r="B25" s="21"/>
      <c r="C25" s="22"/>
      <c r="D25" s="22"/>
      <c r="E25" s="23"/>
    </row>
    <row r="26" spans="1:5" x14ac:dyDescent="0.25">
      <c r="A26" s="1" t="s">
        <v>2</v>
      </c>
    </row>
    <row r="27" spans="1:5" x14ac:dyDescent="0.25">
      <c r="A27" s="1" t="s">
        <v>27</v>
      </c>
    </row>
    <row r="28" spans="1:5" x14ac:dyDescent="0.25">
      <c r="A28" s="1" t="s">
        <v>31</v>
      </c>
    </row>
    <row r="29" spans="1:5" x14ac:dyDescent="0.25">
      <c r="A29" s="4" t="s">
        <v>28</v>
      </c>
    </row>
    <row r="30" spans="1:5" x14ac:dyDescent="0.25">
      <c r="A30" s="1" t="s">
        <v>352</v>
      </c>
    </row>
    <row r="34" spans="5:5" x14ac:dyDescent="0.25">
      <c r="E34" s="1" t="s">
        <v>30</v>
      </c>
    </row>
  </sheetData>
  <mergeCells count="3">
    <mergeCell ref="B1:D1"/>
    <mergeCell ref="A11:E11"/>
    <mergeCell ref="A14:E14"/>
  </mergeCells>
  <pageMargins left="0.19685039370078741" right="0.19685039370078741" top="0.19685039370078741" bottom="0.19685039370078741" header="0.51181102362204722" footer="0.51181102362204722"/>
  <pageSetup paperSize="9" orientation="portrait" r:id="rId1"/>
  <headerFooter alignWithMargins="0"/>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2"/>
  <sheetViews>
    <sheetView topLeftCell="A10" zoomScaleNormal="100" workbookViewId="0">
      <selection activeCell="C16" sqref="C16"/>
    </sheetView>
  </sheetViews>
  <sheetFormatPr defaultRowHeight="15.75" x14ac:dyDescent="0.25"/>
  <cols>
    <col min="1" max="1" width="4.7109375" style="1" customWidth="1"/>
    <col min="2" max="2" width="26.140625" style="1" customWidth="1"/>
    <col min="3" max="3" width="33" style="1" customWidth="1"/>
    <col min="4" max="4" width="26.5703125" style="1" customWidth="1"/>
    <col min="5" max="5" width="11.85546875" style="1" customWidth="1"/>
    <col min="6" max="16384" width="9.140625" style="1"/>
  </cols>
  <sheetData>
    <row r="1" spans="1:5" x14ac:dyDescent="0.25">
      <c r="B1" s="188" t="s">
        <v>327</v>
      </c>
      <c r="C1" s="188"/>
      <c r="D1" s="188"/>
    </row>
    <row r="3" spans="1:5" x14ac:dyDescent="0.25">
      <c r="A3" s="92" t="s">
        <v>230</v>
      </c>
      <c r="B3" s="93"/>
      <c r="C3" s="94"/>
      <c r="D3" s="92" t="s">
        <v>231</v>
      </c>
      <c r="E3"/>
    </row>
    <row r="4" spans="1:5" x14ac:dyDescent="0.25">
      <c r="A4" s="95" t="s">
        <v>232</v>
      </c>
      <c r="B4" s="96"/>
      <c r="C4" s="94"/>
      <c r="D4" s="95" t="s">
        <v>233</v>
      </c>
      <c r="E4"/>
    </row>
    <row r="5" spans="1:5" x14ac:dyDescent="0.25">
      <c r="A5" s="97" t="s">
        <v>4</v>
      </c>
      <c r="B5" s="98"/>
      <c r="C5" s="20"/>
      <c r="D5" s="97" t="s">
        <v>183</v>
      </c>
      <c r="E5" s="99"/>
    </row>
    <row r="6" spans="1:5" x14ac:dyDescent="0.25">
      <c r="A6" s="97" t="s">
        <v>235</v>
      </c>
      <c r="B6" s="98"/>
      <c r="C6" s="100"/>
      <c r="D6" s="97" t="s">
        <v>5</v>
      </c>
      <c r="E6" s="101"/>
    </row>
    <row r="7" spans="1:5" x14ac:dyDescent="0.25">
      <c r="A7"/>
      <c r="B7" s="102"/>
      <c r="C7"/>
      <c r="D7" s="97"/>
      <c r="E7" s="99"/>
    </row>
    <row r="8" spans="1:5" x14ac:dyDescent="0.25">
      <c r="A8" s="97" t="s">
        <v>236</v>
      </c>
      <c r="B8" s="98"/>
      <c r="D8" s="97" t="s">
        <v>237</v>
      </c>
      <c r="E8" s="99"/>
    </row>
    <row r="9" spans="1:5" x14ac:dyDescent="0.25">
      <c r="A9" s="97" t="s">
        <v>326</v>
      </c>
      <c r="B9" s="98"/>
      <c r="D9" s="97" t="s">
        <v>325</v>
      </c>
      <c r="E9" s="98"/>
    </row>
    <row r="10" spans="1:5" x14ac:dyDescent="0.25">
      <c r="A10" s="4"/>
      <c r="D10" s="5"/>
      <c r="E10" s="6"/>
    </row>
    <row r="11" spans="1:5" ht="18" customHeight="1" x14ac:dyDescent="0.25">
      <c r="A11" s="189" t="s">
        <v>10</v>
      </c>
      <c r="B11" s="189"/>
      <c r="C11" s="189"/>
      <c r="D11" s="189"/>
      <c r="E11" s="189"/>
    </row>
    <row r="12" spans="1:5" x14ac:dyDescent="0.25">
      <c r="C12" s="147" t="s">
        <v>159</v>
      </c>
    </row>
    <row r="13" spans="1:5" x14ac:dyDescent="0.25">
      <c r="C13" s="7"/>
    </row>
    <row r="14" spans="1:5" ht="40.5" customHeight="1" x14ac:dyDescent="0.25">
      <c r="A14" s="190" t="s">
        <v>384</v>
      </c>
      <c r="B14" s="190"/>
      <c r="C14" s="190"/>
      <c r="D14" s="190"/>
      <c r="E14" s="190"/>
    </row>
    <row r="15" spans="1:5" x14ac:dyDescent="0.25">
      <c r="A15" s="8"/>
      <c r="B15" s="8"/>
      <c r="C15" s="8"/>
      <c r="D15" s="8"/>
      <c r="E15" s="8"/>
    </row>
    <row r="16" spans="1:5" ht="95.25" customHeight="1" x14ac:dyDescent="0.25">
      <c r="A16" s="9" t="s">
        <v>12</v>
      </c>
      <c r="B16" s="9" t="s">
        <v>13</v>
      </c>
      <c r="C16" s="9" t="s">
        <v>14</v>
      </c>
      <c r="D16" s="9" t="s">
        <v>15</v>
      </c>
      <c r="E16" s="9" t="s">
        <v>16</v>
      </c>
    </row>
    <row r="17" spans="1:5" ht="123.75" customHeight="1" x14ac:dyDescent="0.25">
      <c r="A17" s="10">
        <v>1</v>
      </c>
      <c r="B17" s="11" t="s">
        <v>381</v>
      </c>
      <c r="C17" s="11" t="s">
        <v>382</v>
      </c>
      <c r="D17" s="12" t="s">
        <v>383</v>
      </c>
      <c r="E17" s="13">
        <f>2531.58*2.4*1.2*0.805*4.15</f>
        <v>24357.242548799997</v>
      </c>
    </row>
    <row r="18" spans="1:5" ht="65.25" customHeight="1" x14ac:dyDescent="0.25">
      <c r="A18" s="10">
        <v>2</v>
      </c>
      <c r="B18" s="148" t="s">
        <v>17</v>
      </c>
      <c r="C18" s="12" t="s">
        <v>18</v>
      </c>
      <c r="D18" s="12" t="s">
        <v>365</v>
      </c>
      <c r="E18" s="13">
        <f>800*1*0.5*4.15</f>
        <v>1660.0000000000002</v>
      </c>
    </row>
    <row r="19" spans="1:5" ht="48" customHeight="1" x14ac:dyDescent="0.25">
      <c r="A19" s="10">
        <v>3</v>
      </c>
      <c r="B19" s="12" t="s">
        <v>20</v>
      </c>
      <c r="C19" s="15" t="s">
        <v>21</v>
      </c>
      <c r="D19" s="16">
        <f>(E17+E18)*0.1</f>
        <v>2601.72425488</v>
      </c>
      <c r="E19" s="17">
        <f>D19</f>
        <v>2601.72425488</v>
      </c>
    </row>
    <row r="20" spans="1:5" x14ac:dyDescent="0.25">
      <c r="A20" s="28">
        <v>4</v>
      </c>
      <c r="B20" s="19" t="s">
        <v>24</v>
      </c>
      <c r="C20" s="15"/>
      <c r="D20" s="15" t="s">
        <v>257</v>
      </c>
      <c r="E20" s="17">
        <f>E19+E18+E17</f>
        <v>28618.966803679999</v>
      </c>
    </row>
    <row r="21" spans="1:5" x14ac:dyDescent="0.25">
      <c r="A21" s="28">
        <v>5</v>
      </c>
      <c r="B21" s="19" t="s">
        <v>249</v>
      </c>
      <c r="C21" s="15"/>
      <c r="D21" s="15" t="s">
        <v>258</v>
      </c>
      <c r="E21" s="17">
        <f>ROUND(E20*20%,2)</f>
        <v>5723.79</v>
      </c>
    </row>
    <row r="22" spans="1:5" x14ac:dyDescent="0.25">
      <c r="A22" s="28">
        <v>6</v>
      </c>
      <c r="B22" s="19" t="s">
        <v>26</v>
      </c>
      <c r="C22" s="15"/>
      <c r="D22" s="15" t="s">
        <v>259</v>
      </c>
      <c r="E22" s="17">
        <f>E20+E21</f>
        <v>34342.75680368</v>
      </c>
    </row>
    <row r="23" spans="1:5" x14ac:dyDescent="0.25">
      <c r="A23" s="20"/>
      <c r="B23" s="21"/>
      <c r="C23" s="22"/>
      <c r="D23" s="22"/>
      <c r="E23" s="23"/>
    </row>
    <row r="24" spans="1:5" x14ac:dyDescent="0.25">
      <c r="A24" s="1" t="s">
        <v>2</v>
      </c>
    </row>
    <row r="25" spans="1:5" x14ac:dyDescent="0.25">
      <c r="A25" s="1" t="s">
        <v>27</v>
      </c>
    </row>
    <row r="26" spans="1:5" x14ac:dyDescent="0.25">
      <c r="A26" s="1" t="s">
        <v>31</v>
      </c>
    </row>
    <row r="27" spans="1:5" x14ac:dyDescent="0.25">
      <c r="A27" s="4" t="s">
        <v>28</v>
      </c>
    </row>
    <row r="28" spans="1:5" x14ac:dyDescent="0.25">
      <c r="A28" s="1" t="s">
        <v>352</v>
      </c>
    </row>
    <row r="32" spans="1:5" x14ac:dyDescent="0.25">
      <c r="E32" s="1" t="s">
        <v>30</v>
      </c>
    </row>
  </sheetData>
  <mergeCells count="3">
    <mergeCell ref="B1:D1"/>
    <mergeCell ref="A11:E11"/>
    <mergeCell ref="A14:E14"/>
  </mergeCells>
  <pageMargins left="0.19685039370078741" right="0.19685039370078741" top="0.19685039370078741" bottom="0.19685039370078741" header="0.51181102362204722" footer="0.51181102362204722"/>
  <pageSetup paperSize="9" orientation="portrait" r:id="rId1"/>
  <headerFooter alignWithMargins="0"/>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4"/>
  <sheetViews>
    <sheetView zoomScaleNormal="100" workbookViewId="0">
      <selection activeCell="A15" sqref="A15"/>
    </sheetView>
  </sheetViews>
  <sheetFormatPr defaultRowHeight="15.75" x14ac:dyDescent="0.25"/>
  <cols>
    <col min="1" max="1" width="4.7109375" style="1" customWidth="1"/>
    <col min="2" max="2" width="26.140625" style="1" customWidth="1"/>
    <col min="3" max="3" width="33" style="1" customWidth="1"/>
    <col min="4" max="4" width="26.5703125" style="1" customWidth="1"/>
    <col min="5" max="5" width="11.85546875" style="1" customWidth="1"/>
    <col min="6" max="16384" width="9.140625" style="1"/>
  </cols>
  <sheetData>
    <row r="1" spans="1:5" x14ac:dyDescent="0.25">
      <c r="B1" s="188" t="s">
        <v>327</v>
      </c>
      <c r="C1" s="188"/>
      <c r="D1" s="188"/>
    </row>
    <row r="3" spans="1:5" x14ac:dyDescent="0.25">
      <c r="A3" s="92" t="s">
        <v>230</v>
      </c>
      <c r="B3" s="93"/>
      <c r="C3" s="94"/>
      <c r="D3" s="92" t="s">
        <v>231</v>
      </c>
      <c r="E3"/>
    </row>
    <row r="4" spans="1:5" x14ac:dyDescent="0.25">
      <c r="A4" s="95" t="s">
        <v>232</v>
      </c>
      <c r="B4" s="96"/>
      <c r="C4" s="94"/>
      <c r="D4" s="95" t="s">
        <v>233</v>
      </c>
      <c r="E4"/>
    </row>
    <row r="5" spans="1:5" x14ac:dyDescent="0.25">
      <c r="A5" s="97" t="s">
        <v>4</v>
      </c>
      <c r="B5" s="98"/>
      <c r="C5" s="20"/>
      <c r="D5" s="97" t="s">
        <v>183</v>
      </c>
      <c r="E5" s="99"/>
    </row>
    <row r="6" spans="1:5" x14ac:dyDescent="0.25">
      <c r="A6" s="97" t="s">
        <v>235</v>
      </c>
      <c r="B6" s="98"/>
      <c r="C6" s="100"/>
      <c r="D6" s="97" t="s">
        <v>5</v>
      </c>
      <c r="E6" s="101"/>
    </row>
    <row r="7" spans="1:5" x14ac:dyDescent="0.25">
      <c r="A7"/>
      <c r="B7" s="102"/>
      <c r="C7"/>
      <c r="D7" s="97"/>
      <c r="E7" s="99"/>
    </row>
    <row r="8" spans="1:5" x14ac:dyDescent="0.25">
      <c r="A8" s="97" t="s">
        <v>236</v>
      </c>
      <c r="B8" s="98"/>
      <c r="D8" s="97" t="s">
        <v>237</v>
      </c>
      <c r="E8" s="99"/>
    </row>
    <row r="9" spans="1:5" x14ac:dyDescent="0.25">
      <c r="A9" s="97" t="s">
        <v>326</v>
      </c>
      <c r="B9" s="98"/>
      <c r="D9" s="97" t="s">
        <v>325</v>
      </c>
      <c r="E9" s="98"/>
    </row>
    <row r="10" spans="1:5" x14ac:dyDescent="0.25">
      <c r="A10" s="4"/>
      <c r="D10" s="5"/>
      <c r="E10" s="6"/>
    </row>
    <row r="11" spans="1:5" ht="18" customHeight="1" x14ac:dyDescent="0.25">
      <c r="A11" s="189" t="s">
        <v>10</v>
      </c>
      <c r="B11" s="189"/>
      <c r="C11" s="189"/>
      <c r="D11" s="189"/>
      <c r="E11" s="189"/>
    </row>
    <row r="12" spans="1:5" x14ac:dyDescent="0.25">
      <c r="C12" s="149" t="s">
        <v>159</v>
      </c>
    </row>
    <row r="13" spans="1:5" x14ac:dyDescent="0.25">
      <c r="C13" s="7"/>
    </row>
    <row r="14" spans="1:5" ht="40.5" customHeight="1" x14ac:dyDescent="0.25">
      <c r="A14" s="190" t="s">
        <v>388</v>
      </c>
      <c r="B14" s="190"/>
      <c r="C14" s="190"/>
      <c r="D14" s="190"/>
      <c r="E14" s="190"/>
    </row>
    <row r="15" spans="1:5" x14ac:dyDescent="0.25">
      <c r="A15" s="8"/>
      <c r="B15" s="8"/>
      <c r="C15" s="8"/>
      <c r="D15" s="8"/>
      <c r="E15" s="8"/>
    </row>
    <row r="16" spans="1:5" ht="95.25" customHeight="1" x14ac:dyDescent="0.25">
      <c r="A16" s="9" t="s">
        <v>12</v>
      </c>
      <c r="B16" s="9" t="s">
        <v>13</v>
      </c>
      <c r="C16" s="9" t="s">
        <v>14</v>
      </c>
      <c r="D16" s="9" t="s">
        <v>15</v>
      </c>
      <c r="E16" s="9" t="s">
        <v>16</v>
      </c>
    </row>
    <row r="17" spans="1:5" ht="123.75" customHeight="1" x14ac:dyDescent="0.25">
      <c r="A17" s="10">
        <v>1</v>
      </c>
      <c r="B17" s="11" t="s">
        <v>385</v>
      </c>
      <c r="C17" s="11" t="s">
        <v>386</v>
      </c>
      <c r="D17" s="12" t="s">
        <v>387</v>
      </c>
      <c r="E17" s="13">
        <f>2316.33*2.4*1.2*0.805*4.15</f>
        <v>22286.244808800002</v>
      </c>
    </row>
    <row r="18" spans="1:5" ht="65.25" customHeight="1" x14ac:dyDescent="0.25">
      <c r="A18" s="10">
        <v>2</v>
      </c>
      <c r="B18" s="150" t="s">
        <v>17</v>
      </c>
      <c r="C18" s="12" t="s">
        <v>18</v>
      </c>
      <c r="D18" s="12" t="s">
        <v>365</v>
      </c>
      <c r="E18" s="13">
        <f>800*1*0.5*4.15</f>
        <v>1660.0000000000002</v>
      </c>
    </row>
    <row r="19" spans="1:5" ht="48" customHeight="1" x14ac:dyDescent="0.25">
      <c r="A19" s="10">
        <v>3</v>
      </c>
      <c r="B19" s="12" t="s">
        <v>20</v>
      </c>
      <c r="C19" s="15" t="s">
        <v>21</v>
      </c>
      <c r="D19" s="16">
        <f>(E17+E18)*0.1</f>
        <v>2394.6244808800002</v>
      </c>
      <c r="E19" s="17">
        <f>D19</f>
        <v>2394.6244808800002</v>
      </c>
    </row>
    <row r="20" spans="1:5" ht="48" customHeight="1" x14ac:dyDescent="0.25">
      <c r="A20" s="10">
        <v>4</v>
      </c>
      <c r="B20" s="119" t="s">
        <v>80</v>
      </c>
      <c r="C20" s="12" t="s">
        <v>89</v>
      </c>
      <c r="D20" s="16"/>
      <c r="E20" s="17">
        <v>13333.34</v>
      </c>
    </row>
    <row r="21" spans="1:5" ht="48" customHeight="1" x14ac:dyDescent="0.25">
      <c r="A21" s="10">
        <v>5</v>
      </c>
      <c r="B21" s="119" t="s">
        <v>23</v>
      </c>
      <c r="C21" s="118"/>
      <c r="D21" s="16"/>
      <c r="E21" s="17">
        <v>29766</v>
      </c>
    </row>
    <row r="22" spans="1:5" x14ac:dyDescent="0.25">
      <c r="A22" s="28">
        <v>6</v>
      </c>
      <c r="B22" s="19" t="s">
        <v>24</v>
      </c>
      <c r="C22" s="15"/>
      <c r="D22" s="15" t="s">
        <v>287</v>
      </c>
      <c r="E22" s="17">
        <f>E19+E18+E17+E20+E21</f>
        <v>69440.209289680002</v>
      </c>
    </row>
    <row r="23" spans="1:5" x14ac:dyDescent="0.25">
      <c r="A23" s="28">
        <v>7</v>
      </c>
      <c r="B23" s="19" t="s">
        <v>249</v>
      </c>
      <c r="C23" s="15"/>
      <c r="D23" s="15" t="s">
        <v>288</v>
      </c>
      <c r="E23" s="17">
        <f>ROUND(E22*20%,2)</f>
        <v>13888.04</v>
      </c>
    </row>
    <row r="24" spans="1:5" x14ac:dyDescent="0.25">
      <c r="A24" s="28">
        <v>8</v>
      </c>
      <c r="B24" s="19" t="s">
        <v>26</v>
      </c>
      <c r="C24" s="15"/>
      <c r="D24" s="15" t="s">
        <v>289</v>
      </c>
      <c r="E24" s="17">
        <f>E22+E23</f>
        <v>83328.24928968001</v>
      </c>
    </row>
    <row r="25" spans="1:5" x14ac:dyDescent="0.25">
      <c r="A25" s="20"/>
      <c r="B25" s="21"/>
      <c r="C25" s="22"/>
      <c r="D25" s="22"/>
      <c r="E25" s="23"/>
    </row>
    <row r="26" spans="1:5" x14ac:dyDescent="0.25">
      <c r="A26" s="1" t="s">
        <v>2</v>
      </c>
    </row>
    <row r="27" spans="1:5" x14ac:dyDescent="0.25">
      <c r="A27" s="1" t="s">
        <v>27</v>
      </c>
    </row>
    <row r="28" spans="1:5" x14ac:dyDescent="0.25">
      <c r="A28" s="1" t="s">
        <v>31</v>
      </c>
    </row>
    <row r="29" spans="1:5" x14ac:dyDescent="0.25">
      <c r="A29" s="4" t="s">
        <v>28</v>
      </c>
    </row>
    <row r="30" spans="1:5" x14ac:dyDescent="0.25">
      <c r="A30" s="1" t="s">
        <v>352</v>
      </c>
    </row>
    <row r="34" spans="5:5" x14ac:dyDescent="0.25">
      <c r="E34" s="1" t="s">
        <v>30</v>
      </c>
    </row>
  </sheetData>
  <mergeCells count="3">
    <mergeCell ref="B1:D1"/>
    <mergeCell ref="A11:E11"/>
    <mergeCell ref="A14:E14"/>
  </mergeCells>
  <pageMargins left="0.19685039370078741" right="0.19685039370078741" top="0.19685039370078741" bottom="0.19685039370078741" header="0.51181102362204722" footer="0.51181102362204722"/>
  <pageSetup paperSize="9" orientation="portrait" r:id="rId1"/>
  <headerFooter alignWithMargins="0"/>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4"/>
  <sheetViews>
    <sheetView topLeftCell="A19" zoomScaleNormal="100" workbookViewId="0">
      <selection activeCell="A15" sqref="A15"/>
    </sheetView>
  </sheetViews>
  <sheetFormatPr defaultRowHeight="15.75" x14ac:dyDescent="0.25"/>
  <cols>
    <col min="1" max="1" width="4.7109375" style="1" customWidth="1"/>
    <col min="2" max="2" width="26.140625" style="1" customWidth="1"/>
    <col min="3" max="3" width="33" style="1" customWidth="1"/>
    <col min="4" max="4" width="26.5703125" style="1" customWidth="1"/>
    <col min="5" max="5" width="11.85546875" style="1" customWidth="1"/>
    <col min="6" max="16384" width="9.140625" style="1"/>
  </cols>
  <sheetData>
    <row r="1" spans="1:5" x14ac:dyDescent="0.25">
      <c r="B1" s="188" t="s">
        <v>327</v>
      </c>
      <c r="C1" s="188"/>
      <c r="D1" s="188"/>
    </row>
    <row r="3" spans="1:5" x14ac:dyDescent="0.25">
      <c r="A3" s="92" t="s">
        <v>230</v>
      </c>
      <c r="B3" s="93"/>
      <c r="C3" s="94"/>
      <c r="D3" s="92" t="s">
        <v>231</v>
      </c>
      <c r="E3"/>
    </row>
    <row r="4" spans="1:5" x14ac:dyDescent="0.25">
      <c r="A4" s="95" t="s">
        <v>232</v>
      </c>
      <c r="B4" s="96"/>
      <c r="C4" s="94"/>
      <c r="D4" s="95" t="s">
        <v>233</v>
      </c>
      <c r="E4"/>
    </row>
    <row r="5" spans="1:5" x14ac:dyDescent="0.25">
      <c r="A5" s="97" t="s">
        <v>4</v>
      </c>
      <c r="B5" s="98"/>
      <c r="C5" s="20"/>
      <c r="D5" s="97" t="s">
        <v>183</v>
      </c>
      <c r="E5" s="99"/>
    </row>
    <row r="6" spans="1:5" x14ac:dyDescent="0.25">
      <c r="A6" s="97" t="s">
        <v>235</v>
      </c>
      <c r="B6" s="98"/>
      <c r="C6" s="100"/>
      <c r="D6" s="97" t="s">
        <v>5</v>
      </c>
      <c r="E6" s="101"/>
    </row>
    <row r="7" spans="1:5" x14ac:dyDescent="0.25">
      <c r="A7"/>
      <c r="B7" s="102"/>
      <c r="C7"/>
      <c r="D7" s="97"/>
      <c r="E7" s="99"/>
    </row>
    <row r="8" spans="1:5" x14ac:dyDescent="0.25">
      <c r="A8" s="97" t="s">
        <v>236</v>
      </c>
      <c r="B8" s="98"/>
      <c r="D8" s="97" t="s">
        <v>237</v>
      </c>
      <c r="E8" s="99"/>
    </row>
    <row r="9" spans="1:5" x14ac:dyDescent="0.25">
      <c r="A9" s="97" t="s">
        <v>326</v>
      </c>
      <c r="B9" s="98"/>
      <c r="D9" s="97" t="s">
        <v>325</v>
      </c>
      <c r="E9" s="98"/>
    </row>
    <row r="10" spans="1:5" x14ac:dyDescent="0.25">
      <c r="A10" s="4"/>
      <c r="D10" s="5"/>
      <c r="E10" s="6"/>
    </row>
    <row r="11" spans="1:5" ht="18" customHeight="1" x14ac:dyDescent="0.25">
      <c r="A11" s="189" t="s">
        <v>10</v>
      </c>
      <c r="B11" s="189"/>
      <c r="C11" s="189"/>
      <c r="D11" s="189"/>
      <c r="E11" s="189"/>
    </row>
    <row r="12" spans="1:5" x14ac:dyDescent="0.25">
      <c r="C12" s="151" t="s">
        <v>159</v>
      </c>
    </row>
    <row r="13" spans="1:5" x14ac:dyDescent="0.25">
      <c r="C13" s="7"/>
    </row>
    <row r="14" spans="1:5" ht="40.5" customHeight="1" x14ac:dyDescent="0.25">
      <c r="A14" s="190" t="s">
        <v>392</v>
      </c>
      <c r="B14" s="190"/>
      <c r="C14" s="190"/>
      <c r="D14" s="190"/>
      <c r="E14" s="190"/>
    </row>
    <row r="15" spans="1:5" x14ac:dyDescent="0.25">
      <c r="A15" s="8"/>
      <c r="B15" s="8"/>
      <c r="C15" s="8"/>
      <c r="D15" s="8"/>
      <c r="E15" s="8"/>
    </row>
    <row r="16" spans="1:5" ht="95.25" customHeight="1" x14ac:dyDescent="0.25">
      <c r="A16" s="9" t="s">
        <v>12</v>
      </c>
      <c r="B16" s="9" t="s">
        <v>13</v>
      </c>
      <c r="C16" s="9" t="s">
        <v>14</v>
      </c>
      <c r="D16" s="9" t="s">
        <v>15</v>
      </c>
      <c r="E16" s="9" t="s">
        <v>16</v>
      </c>
    </row>
    <row r="17" spans="1:5" ht="123.75" customHeight="1" x14ac:dyDescent="0.25">
      <c r="A17" s="10">
        <v>1</v>
      </c>
      <c r="B17" s="11" t="s">
        <v>389</v>
      </c>
      <c r="C17" s="11" t="s">
        <v>390</v>
      </c>
      <c r="D17" s="12" t="s">
        <v>391</v>
      </c>
      <c r="E17" s="13">
        <f>2076.32*2.4*1.2*0.805*4.15</f>
        <v>19977.022195200007</v>
      </c>
    </row>
    <row r="18" spans="1:5" ht="65.25" customHeight="1" x14ac:dyDescent="0.25">
      <c r="A18" s="10">
        <v>2</v>
      </c>
      <c r="B18" s="152" t="s">
        <v>17</v>
      </c>
      <c r="C18" s="12" t="s">
        <v>18</v>
      </c>
      <c r="D18" s="12" t="s">
        <v>365</v>
      </c>
      <c r="E18" s="13">
        <f>800*1*0.5*4.15</f>
        <v>1660.0000000000002</v>
      </c>
    </row>
    <row r="19" spans="1:5" ht="48" customHeight="1" x14ac:dyDescent="0.25">
      <c r="A19" s="10">
        <v>3</v>
      </c>
      <c r="B19" s="12" t="s">
        <v>20</v>
      </c>
      <c r="C19" s="15" t="s">
        <v>21</v>
      </c>
      <c r="D19" s="16">
        <f>(E17+E18)*0.1</f>
        <v>2163.7022195200007</v>
      </c>
      <c r="E19" s="17">
        <f>D19</f>
        <v>2163.7022195200007</v>
      </c>
    </row>
    <row r="20" spans="1:5" ht="48" customHeight="1" x14ac:dyDescent="0.25">
      <c r="A20" s="10">
        <v>4</v>
      </c>
      <c r="B20" s="119" t="s">
        <v>80</v>
      </c>
      <c r="C20" s="12" t="s">
        <v>89</v>
      </c>
      <c r="D20" s="16"/>
      <c r="E20" s="17">
        <v>4166.67</v>
      </c>
    </row>
    <row r="21" spans="1:5" ht="48" customHeight="1" x14ac:dyDescent="0.25">
      <c r="A21" s="10">
        <v>5</v>
      </c>
      <c r="B21" s="119" t="s">
        <v>23</v>
      </c>
      <c r="C21" s="118"/>
      <c r="D21" s="16"/>
      <c r="E21" s="17">
        <v>41370</v>
      </c>
    </row>
    <row r="22" spans="1:5" x14ac:dyDescent="0.25">
      <c r="A22" s="28">
        <v>6</v>
      </c>
      <c r="B22" s="19" t="s">
        <v>24</v>
      </c>
      <c r="C22" s="15"/>
      <c r="D22" s="15" t="s">
        <v>287</v>
      </c>
      <c r="E22" s="17">
        <f>E19+E18+E17+E20+E21</f>
        <v>69337.394414720009</v>
      </c>
    </row>
    <row r="23" spans="1:5" x14ac:dyDescent="0.25">
      <c r="A23" s="28">
        <v>7</v>
      </c>
      <c r="B23" s="19" t="s">
        <v>249</v>
      </c>
      <c r="C23" s="15"/>
      <c r="D23" s="15" t="s">
        <v>288</v>
      </c>
      <c r="E23" s="17">
        <f>ROUND(E22*20%,2)</f>
        <v>13867.48</v>
      </c>
    </row>
    <row r="24" spans="1:5" x14ac:dyDescent="0.25">
      <c r="A24" s="28">
        <v>8</v>
      </c>
      <c r="B24" s="19" t="s">
        <v>26</v>
      </c>
      <c r="C24" s="15"/>
      <c r="D24" s="15" t="s">
        <v>289</v>
      </c>
      <c r="E24" s="17">
        <f>E22+E23</f>
        <v>83204.874414720005</v>
      </c>
    </row>
    <row r="25" spans="1:5" x14ac:dyDescent="0.25">
      <c r="A25" s="20"/>
      <c r="B25" s="21"/>
      <c r="C25" s="22"/>
      <c r="D25" s="22"/>
      <c r="E25" s="23"/>
    </row>
    <row r="26" spans="1:5" x14ac:dyDescent="0.25">
      <c r="A26" s="1" t="s">
        <v>2</v>
      </c>
    </row>
    <row r="27" spans="1:5" x14ac:dyDescent="0.25">
      <c r="A27" s="1" t="s">
        <v>27</v>
      </c>
    </row>
    <row r="28" spans="1:5" x14ac:dyDescent="0.25">
      <c r="A28" s="1" t="s">
        <v>31</v>
      </c>
    </row>
    <row r="29" spans="1:5" x14ac:dyDescent="0.25">
      <c r="A29" s="4" t="s">
        <v>28</v>
      </c>
    </row>
    <row r="30" spans="1:5" x14ac:dyDescent="0.25">
      <c r="A30" s="1" t="s">
        <v>352</v>
      </c>
    </row>
    <row r="34" spans="5:5" x14ac:dyDescent="0.25">
      <c r="E34" s="1" t="s">
        <v>30</v>
      </c>
    </row>
  </sheetData>
  <mergeCells count="3">
    <mergeCell ref="B1:D1"/>
    <mergeCell ref="A11:E11"/>
    <mergeCell ref="A14:E14"/>
  </mergeCells>
  <pageMargins left="0.19685039370078741" right="0.19685039370078741" top="0.19685039370078741" bottom="0.19685039370078741" header="0.51181102362204722" footer="0.51181102362204722"/>
  <pageSetup paperSize="9" orientation="portrait" r:id="rId1"/>
  <headerFooter alignWithMargins="0"/>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4"/>
  <sheetViews>
    <sheetView topLeftCell="A16" zoomScaleNormal="100" workbookViewId="0">
      <selection activeCell="C17" sqref="C17"/>
    </sheetView>
  </sheetViews>
  <sheetFormatPr defaultRowHeight="15.75" x14ac:dyDescent="0.25"/>
  <cols>
    <col min="1" max="1" width="4.7109375" style="1" customWidth="1"/>
    <col min="2" max="2" width="26.140625" style="1" customWidth="1"/>
    <col min="3" max="3" width="33" style="1" customWidth="1"/>
    <col min="4" max="4" width="26.5703125" style="1" customWidth="1"/>
    <col min="5" max="5" width="11.85546875" style="1" customWidth="1"/>
    <col min="6" max="16384" width="9.140625" style="1"/>
  </cols>
  <sheetData>
    <row r="1" spans="1:5" x14ac:dyDescent="0.25">
      <c r="B1" s="188" t="s">
        <v>327</v>
      </c>
      <c r="C1" s="188"/>
      <c r="D1" s="188"/>
    </row>
    <row r="3" spans="1:5" x14ac:dyDescent="0.25">
      <c r="A3" s="92" t="s">
        <v>230</v>
      </c>
      <c r="B3" s="93"/>
      <c r="C3" s="94"/>
      <c r="D3" s="92" t="s">
        <v>231</v>
      </c>
      <c r="E3"/>
    </row>
    <row r="4" spans="1:5" x14ac:dyDescent="0.25">
      <c r="A4" s="95" t="s">
        <v>232</v>
      </c>
      <c r="B4" s="96"/>
      <c r="C4" s="94"/>
      <c r="D4" s="95" t="s">
        <v>233</v>
      </c>
      <c r="E4"/>
    </row>
    <row r="5" spans="1:5" x14ac:dyDescent="0.25">
      <c r="A5" s="97" t="s">
        <v>4</v>
      </c>
      <c r="B5" s="98"/>
      <c r="C5" s="20"/>
      <c r="D5" s="97" t="s">
        <v>183</v>
      </c>
      <c r="E5" s="99"/>
    </row>
    <row r="6" spans="1:5" x14ac:dyDescent="0.25">
      <c r="A6" s="97" t="s">
        <v>235</v>
      </c>
      <c r="B6" s="98"/>
      <c r="C6" s="100"/>
      <c r="D6" s="97" t="s">
        <v>5</v>
      </c>
      <c r="E6" s="101"/>
    </row>
    <row r="7" spans="1:5" x14ac:dyDescent="0.25">
      <c r="A7"/>
      <c r="B7" s="102"/>
      <c r="C7"/>
      <c r="D7" s="97"/>
      <c r="E7" s="99"/>
    </row>
    <row r="8" spans="1:5" x14ac:dyDescent="0.25">
      <c r="A8" s="97" t="s">
        <v>236</v>
      </c>
      <c r="B8" s="98"/>
      <c r="D8" s="97" t="s">
        <v>237</v>
      </c>
      <c r="E8" s="99"/>
    </row>
    <row r="9" spans="1:5" x14ac:dyDescent="0.25">
      <c r="A9" s="97" t="s">
        <v>326</v>
      </c>
      <c r="B9" s="98"/>
      <c r="D9" s="97" t="s">
        <v>325</v>
      </c>
      <c r="E9" s="98"/>
    </row>
    <row r="10" spans="1:5" x14ac:dyDescent="0.25">
      <c r="A10" s="4"/>
      <c r="D10" s="5"/>
      <c r="E10" s="6"/>
    </row>
    <row r="11" spans="1:5" ht="18" customHeight="1" x14ac:dyDescent="0.25">
      <c r="A11" s="189" t="s">
        <v>10</v>
      </c>
      <c r="B11" s="189"/>
      <c r="C11" s="189"/>
      <c r="D11" s="189"/>
      <c r="E11" s="189"/>
    </row>
    <row r="12" spans="1:5" x14ac:dyDescent="0.25">
      <c r="C12" s="153" t="s">
        <v>159</v>
      </c>
    </row>
    <row r="13" spans="1:5" x14ac:dyDescent="0.25">
      <c r="C13" s="7"/>
    </row>
    <row r="14" spans="1:5" ht="40.5" customHeight="1" x14ac:dyDescent="0.25">
      <c r="A14" s="190" t="s">
        <v>396</v>
      </c>
      <c r="B14" s="190"/>
      <c r="C14" s="190"/>
      <c r="D14" s="190"/>
      <c r="E14" s="190"/>
    </row>
    <row r="15" spans="1:5" x14ac:dyDescent="0.25">
      <c r="A15" s="8"/>
      <c r="B15" s="8"/>
      <c r="C15" s="8"/>
      <c r="D15" s="8"/>
      <c r="E15" s="8"/>
    </row>
    <row r="16" spans="1:5" ht="95.25" customHeight="1" x14ac:dyDescent="0.25">
      <c r="A16" s="9" t="s">
        <v>12</v>
      </c>
      <c r="B16" s="9" t="s">
        <v>13</v>
      </c>
      <c r="C16" s="9" t="s">
        <v>14</v>
      </c>
      <c r="D16" s="9" t="s">
        <v>15</v>
      </c>
      <c r="E16" s="9" t="s">
        <v>16</v>
      </c>
    </row>
    <row r="17" spans="1:5" ht="123.75" customHeight="1" x14ac:dyDescent="0.25">
      <c r="A17" s="10">
        <v>1</v>
      </c>
      <c r="B17" s="11" t="s">
        <v>393</v>
      </c>
      <c r="C17" s="11" t="s">
        <v>394</v>
      </c>
      <c r="D17" s="12" t="s">
        <v>395</v>
      </c>
      <c r="E17" s="13">
        <f>856.89*2.4*1.2*0.805*4.15</f>
        <v>8244.4471704000007</v>
      </c>
    </row>
    <row r="18" spans="1:5" ht="65.25" customHeight="1" x14ac:dyDescent="0.25">
      <c r="A18" s="10">
        <v>2</v>
      </c>
      <c r="B18" s="154" t="s">
        <v>17</v>
      </c>
      <c r="C18" s="12" t="s">
        <v>18</v>
      </c>
      <c r="D18" s="12" t="s">
        <v>365</v>
      </c>
      <c r="E18" s="13">
        <f>800*1*0.5*4.15</f>
        <v>1660.0000000000002</v>
      </c>
    </row>
    <row r="19" spans="1:5" ht="48" customHeight="1" x14ac:dyDescent="0.25">
      <c r="A19" s="10">
        <v>3</v>
      </c>
      <c r="B19" s="12" t="s">
        <v>20</v>
      </c>
      <c r="C19" s="15" t="s">
        <v>21</v>
      </c>
      <c r="D19" s="16">
        <f>(E17+E18)*0.1</f>
        <v>990.44471704000011</v>
      </c>
      <c r="E19" s="17">
        <f>D19</f>
        <v>990.44471704000011</v>
      </c>
    </row>
    <row r="20" spans="1:5" ht="48" customHeight="1" x14ac:dyDescent="0.25">
      <c r="A20" s="10">
        <v>4</v>
      </c>
      <c r="B20" s="119" t="s">
        <v>80</v>
      </c>
      <c r="C20" s="12" t="s">
        <v>89</v>
      </c>
      <c r="D20" s="16"/>
      <c r="E20" s="17">
        <v>6666.67</v>
      </c>
    </row>
    <row r="21" spans="1:5" ht="48" customHeight="1" x14ac:dyDescent="0.25">
      <c r="A21" s="10">
        <v>5</v>
      </c>
      <c r="B21" s="119" t="s">
        <v>23</v>
      </c>
      <c r="C21" s="118"/>
      <c r="D21" s="16"/>
      <c r="E21" s="17">
        <v>25972</v>
      </c>
    </row>
    <row r="22" spans="1:5" x14ac:dyDescent="0.25">
      <c r="A22" s="28">
        <v>6</v>
      </c>
      <c r="B22" s="19" t="s">
        <v>24</v>
      </c>
      <c r="C22" s="15"/>
      <c r="D22" s="15" t="s">
        <v>287</v>
      </c>
      <c r="E22" s="17">
        <f>E19+E18+E17+E20+E21</f>
        <v>43533.561887440002</v>
      </c>
    </row>
    <row r="23" spans="1:5" x14ac:dyDescent="0.25">
      <c r="A23" s="28">
        <v>7</v>
      </c>
      <c r="B23" s="19" t="s">
        <v>249</v>
      </c>
      <c r="C23" s="15"/>
      <c r="D23" s="15" t="s">
        <v>288</v>
      </c>
      <c r="E23" s="17">
        <f>ROUND(E22*20%,2)</f>
        <v>8706.7099999999991</v>
      </c>
    </row>
    <row r="24" spans="1:5" x14ac:dyDescent="0.25">
      <c r="A24" s="28">
        <v>8</v>
      </c>
      <c r="B24" s="19" t="s">
        <v>26</v>
      </c>
      <c r="C24" s="15"/>
      <c r="D24" s="15" t="s">
        <v>289</v>
      </c>
      <c r="E24" s="17">
        <f>E22+E23</f>
        <v>52240.271887440002</v>
      </c>
    </row>
    <row r="25" spans="1:5" x14ac:dyDescent="0.25">
      <c r="A25" s="20"/>
      <c r="B25" s="21"/>
      <c r="C25" s="22"/>
      <c r="D25" s="22"/>
      <c r="E25" s="23"/>
    </row>
    <row r="26" spans="1:5" x14ac:dyDescent="0.25">
      <c r="A26" s="1" t="s">
        <v>2</v>
      </c>
    </row>
    <row r="27" spans="1:5" x14ac:dyDescent="0.25">
      <c r="A27" s="1" t="s">
        <v>27</v>
      </c>
    </row>
    <row r="28" spans="1:5" x14ac:dyDescent="0.25">
      <c r="A28" s="1" t="s">
        <v>31</v>
      </c>
    </row>
    <row r="29" spans="1:5" x14ac:dyDescent="0.25">
      <c r="A29" s="4" t="s">
        <v>28</v>
      </c>
    </row>
    <row r="30" spans="1:5" x14ac:dyDescent="0.25">
      <c r="A30" s="1" t="s">
        <v>352</v>
      </c>
    </row>
    <row r="34" spans="5:5" x14ac:dyDescent="0.25">
      <c r="E34" s="1" t="s">
        <v>30</v>
      </c>
    </row>
  </sheetData>
  <mergeCells count="3">
    <mergeCell ref="B1:D1"/>
    <mergeCell ref="A11:E11"/>
    <mergeCell ref="A14:E14"/>
  </mergeCells>
  <pageMargins left="0.19685039370078741" right="0.19685039370078741" top="0.19685039370078741" bottom="0.19685039370078741" header="0.51181102362204722" footer="0.51181102362204722"/>
  <pageSetup paperSize="9" orientation="portrait" r:id="rId1"/>
  <headerFooter alignWithMargins="0"/>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2"/>
  <sheetViews>
    <sheetView topLeftCell="A13" zoomScaleNormal="100" workbookViewId="0">
      <selection activeCell="A14" sqref="A14:E14"/>
    </sheetView>
  </sheetViews>
  <sheetFormatPr defaultRowHeight="15.75" x14ac:dyDescent="0.25"/>
  <cols>
    <col min="1" max="1" width="4.7109375" style="1" customWidth="1"/>
    <col min="2" max="2" width="26.140625" style="1" customWidth="1"/>
    <col min="3" max="3" width="33" style="1" customWidth="1"/>
    <col min="4" max="4" width="26.5703125" style="1" customWidth="1"/>
    <col min="5" max="5" width="11.85546875" style="1" customWidth="1"/>
    <col min="6" max="16384" width="9.140625" style="1"/>
  </cols>
  <sheetData>
    <row r="1" spans="1:5" x14ac:dyDescent="0.25">
      <c r="B1" s="188" t="s">
        <v>327</v>
      </c>
      <c r="C1" s="188"/>
      <c r="D1" s="188"/>
    </row>
    <row r="3" spans="1:5" x14ac:dyDescent="0.25">
      <c r="A3" s="92" t="s">
        <v>230</v>
      </c>
      <c r="B3" s="93"/>
      <c r="C3" s="94"/>
      <c r="D3" s="92" t="s">
        <v>231</v>
      </c>
      <c r="E3"/>
    </row>
    <row r="4" spans="1:5" x14ac:dyDescent="0.25">
      <c r="A4" s="95" t="s">
        <v>232</v>
      </c>
      <c r="B4" s="96"/>
      <c r="C4" s="94"/>
      <c r="D4" s="95" t="s">
        <v>233</v>
      </c>
      <c r="E4"/>
    </row>
    <row r="5" spans="1:5" x14ac:dyDescent="0.25">
      <c r="A5" s="97" t="s">
        <v>4</v>
      </c>
      <c r="B5" s="98"/>
      <c r="C5" s="20"/>
      <c r="D5" s="97" t="s">
        <v>183</v>
      </c>
      <c r="E5" s="99"/>
    </row>
    <row r="6" spans="1:5" x14ac:dyDescent="0.25">
      <c r="A6" s="97" t="s">
        <v>235</v>
      </c>
      <c r="B6" s="98"/>
      <c r="C6" s="100"/>
      <c r="D6" s="97" t="s">
        <v>5</v>
      </c>
      <c r="E6" s="101"/>
    </row>
    <row r="7" spans="1:5" x14ac:dyDescent="0.25">
      <c r="A7"/>
      <c r="B7" s="102"/>
      <c r="C7"/>
      <c r="D7" s="97"/>
      <c r="E7" s="99"/>
    </row>
    <row r="8" spans="1:5" x14ac:dyDescent="0.25">
      <c r="A8" s="97" t="s">
        <v>236</v>
      </c>
      <c r="B8" s="98"/>
      <c r="D8" s="97" t="s">
        <v>237</v>
      </c>
      <c r="E8" s="99"/>
    </row>
    <row r="9" spans="1:5" x14ac:dyDescent="0.25">
      <c r="A9" s="97" t="s">
        <v>326</v>
      </c>
      <c r="B9" s="98"/>
      <c r="D9" s="97" t="s">
        <v>325</v>
      </c>
      <c r="E9" s="98"/>
    </row>
    <row r="10" spans="1:5" x14ac:dyDescent="0.25">
      <c r="A10" s="4"/>
      <c r="D10" s="5"/>
      <c r="E10" s="6"/>
    </row>
    <row r="11" spans="1:5" ht="18" customHeight="1" x14ac:dyDescent="0.25">
      <c r="A11" s="189" t="s">
        <v>10</v>
      </c>
      <c r="B11" s="189"/>
      <c r="C11" s="189"/>
      <c r="D11" s="189"/>
      <c r="E11" s="189"/>
    </row>
    <row r="12" spans="1:5" x14ac:dyDescent="0.25">
      <c r="C12" s="155" t="s">
        <v>159</v>
      </c>
    </row>
    <row r="13" spans="1:5" x14ac:dyDescent="0.25">
      <c r="C13" s="7"/>
    </row>
    <row r="14" spans="1:5" ht="40.5" customHeight="1" x14ac:dyDescent="0.25">
      <c r="A14" s="190" t="s">
        <v>400</v>
      </c>
      <c r="B14" s="190"/>
      <c r="C14" s="190"/>
      <c r="D14" s="190"/>
      <c r="E14" s="190"/>
    </row>
    <row r="15" spans="1:5" x14ac:dyDescent="0.25">
      <c r="A15" s="8"/>
      <c r="B15" s="8"/>
      <c r="C15" s="8"/>
      <c r="D15" s="8"/>
      <c r="E15" s="8"/>
    </row>
    <row r="16" spans="1:5" ht="95.25" customHeight="1" x14ac:dyDescent="0.25">
      <c r="A16" s="9" t="s">
        <v>12</v>
      </c>
      <c r="B16" s="9" t="s">
        <v>13</v>
      </c>
      <c r="C16" s="9" t="s">
        <v>14</v>
      </c>
      <c r="D16" s="9" t="s">
        <v>15</v>
      </c>
      <c r="E16" s="9" t="s">
        <v>16</v>
      </c>
    </row>
    <row r="17" spans="1:5" ht="123.75" customHeight="1" x14ac:dyDescent="0.25">
      <c r="A17" s="10">
        <v>1</v>
      </c>
      <c r="B17" s="11" t="s">
        <v>397</v>
      </c>
      <c r="C17" s="11" t="s">
        <v>398</v>
      </c>
      <c r="D17" s="12" t="s">
        <v>399</v>
      </c>
      <c r="E17" s="13">
        <f>2549.15*2.4*1.2*0.805*4.15</f>
        <v>24526.289844000003</v>
      </c>
    </row>
    <row r="18" spans="1:5" ht="65.25" customHeight="1" x14ac:dyDescent="0.25">
      <c r="A18" s="10">
        <v>2</v>
      </c>
      <c r="B18" s="156" t="s">
        <v>17</v>
      </c>
      <c r="C18" s="12" t="s">
        <v>18</v>
      </c>
      <c r="D18" s="12" t="s">
        <v>365</v>
      </c>
      <c r="E18" s="13">
        <f>800*1*0.5*4.15</f>
        <v>1660.0000000000002</v>
      </c>
    </row>
    <row r="19" spans="1:5" ht="48" customHeight="1" x14ac:dyDescent="0.25">
      <c r="A19" s="10">
        <v>3</v>
      </c>
      <c r="B19" s="12" t="s">
        <v>20</v>
      </c>
      <c r="C19" s="15" t="s">
        <v>21</v>
      </c>
      <c r="D19" s="16">
        <f>(E17+E18)*0.1</f>
        <v>2618.6289844000003</v>
      </c>
      <c r="E19" s="17">
        <f>D19</f>
        <v>2618.6289844000003</v>
      </c>
    </row>
    <row r="20" spans="1:5" x14ac:dyDescent="0.25">
      <c r="A20" s="28">
        <v>4</v>
      </c>
      <c r="B20" s="19" t="s">
        <v>24</v>
      </c>
      <c r="C20" s="15"/>
      <c r="D20" s="15" t="s">
        <v>257</v>
      </c>
      <c r="E20" s="17">
        <f>E19+E18+E17</f>
        <v>28804.918828400005</v>
      </c>
    </row>
    <row r="21" spans="1:5" x14ac:dyDescent="0.25">
      <c r="A21" s="28">
        <v>5</v>
      </c>
      <c r="B21" s="19" t="s">
        <v>249</v>
      </c>
      <c r="C21" s="15"/>
      <c r="D21" s="15" t="s">
        <v>258</v>
      </c>
      <c r="E21" s="17">
        <f>ROUND(E20*20%,2)</f>
        <v>5760.98</v>
      </c>
    </row>
    <row r="22" spans="1:5" x14ac:dyDescent="0.25">
      <c r="A22" s="28">
        <v>6</v>
      </c>
      <c r="B22" s="19" t="s">
        <v>26</v>
      </c>
      <c r="C22" s="15"/>
      <c r="D22" s="15" t="s">
        <v>259</v>
      </c>
      <c r="E22" s="17">
        <f>E20+E21</f>
        <v>34565.898828400008</v>
      </c>
    </row>
    <row r="23" spans="1:5" x14ac:dyDescent="0.25">
      <c r="A23" s="20"/>
      <c r="B23" s="21"/>
      <c r="C23" s="22"/>
      <c r="D23" s="22"/>
      <c r="E23" s="23"/>
    </row>
    <row r="24" spans="1:5" x14ac:dyDescent="0.25">
      <c r="A24" s="1" t="s">
        <v>2</v>
      </c>
    </row>
    <row r="25" spans="1:5" x14ac:dyDescent="0.25">
      <c r="A25" s="1" t="s">
        <v>27</v>
      </c>
    </row>
    <row r="26" spans="1:5" x14ac:dyDescent="0.25">
      <c r="A26" s="1" t="s">
        <v>31</v>
      </c>
    </row>
    <row r="27" spans="1:5" x14ac:dyDescent="0.25">
      <c r="A27" s="4" t="s">
        <v>28</v>
      </c>
    </row>
    <row r="28" spans="1:5" x14ac:dyDescent="0.25">
      <c r="A28" s="1" t="s">
        <v>352</v>
      </c>
    </row>
    <row r="32" spans="1:5" x14ac:dyDescent="0.25">
      <c r="E32" s="1" t="s">
        <v>30</v>
      </c>
    </row>
  </sheetData>
  <mergeCells count="3">
    <mergeCell ref="B1:D1"/>
    <mergeCell ref="A11:E11"/>
    <mergeCell ref="A14:E14"/>
  </mergeCells>
  <pageMargins left="0.19685039370078741" right="0.19685039370078741" top="0.19685039370078741" bottom="0.19685039370078741" header="0.51181102362204722" footer="0.51181102362204722"/>
  <pageSetup paperSize="9" orientation="portrait" r:id="rId1"/>
  <headerFooter alignWithMargins="0"/>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4"/>
  <sheetViews>
    <sheetView zoomScaleNormal="100" workbookViewId="0">
      <selection activeCell="D17" sqref="D17"/>
    </sheetView>
  </sheetViews>
  <sheetFormatPr defaultRowHeight="15.75" x14ac:dyDescent="0.25"/>
  <cols>
    <col min="1" max="1" width="4.7109375" style="1" customWidth="1"/>
    <col min="2" max="2" width="26.140625" style="1" customWidth="1"/>
    <col min="3" max="3" width="33" style="1" customWidth="1"/>
    <col min="4" max="4" width="26.5703125" style="1" customWidth="1"/>
    <col min="5" max="5" width="11.85546875" style="1" customWidth="1"/>
    <col min="6" max="16384" width="9.140625" style="1"/>
  </cols>
  <sheetData>
    <row r="1" spans="1:5" x14ac:dyDescent="0.25">
      <c r="B1" s="188" t="s">
        <v>327</v>
      </c>
      <c r="C1" s="188"/>
      <c r="D1" s="188"/>
    </row>
    <row r="3" spans="1:5" x14ac:dyDescent="0.25">
      <c r="A3" s="92" t="s">
        <v>230</v>
      </c>
      <c r="B3" s="93"/>
      <c r="C3" s="94"/>
      <c r="D3" s="92" t="s">
        <v>231</v>
      </c>
      <c r="E3"/>
    </row>
    <row r="4" spans="1:5" x14ac:dyDescent="0.25">
      <c r="A4" s="95" t="s">
        <v>232</v>
      </c>
      <c r="B4" s="96"/>
      <c r="C4" s="94"/>
      <c r="D4" s="95" t="s">
        <v>233</v>
      </c>
      <c r="E4"/>
    </row>
    <row r="5" spans="1:5" x14ac:dyDescent="0.25">
      <c r="A5" s="97" t="s">
        <v>4</v>
      </c>
      <c r="B5" s="98"/>
      <c r="C5" s="20"/>
      <c r="D5" s="97" t="s">
        <v>183</v>
      </c>
      <c r="E5" s="99"/>
    </row>
    <row r="6" spans="1:5" x14ac:dyDescent="0.25">
      <c r="A6" s="97" t="s">
        <v>235</v>
      </c>
      <c r="B6" s="98"/>
      <c r="C6" s="100"/>
      <c r="D6" s="97" t="s">
        <v>5</v>
      </c>
      <c r="E6" s="101"/>
    </row>
    <row r="7" spans="1:5" x14ac:dyDescent="0.25">
      <c r="A7"/>
      <c r="B7" s="102"/>
      <c r="C7"/>
      <c r="D7" s="97"/>
      <c r="E7" s="99"/>
    </row>
    <row r="8" spans="1:5" x14ac:dyDescent="0.25">
      <c r="A8" s="97" t="s">
        <v>236</v>
      </c>
      <c r="B8" s="98"/>
      <c r="D8" s="97" t="s">
        <v>237</v>
      </c>
      <c r="E8" s="99"/>
    </row>
    <row r="9" spans="1:5" x14ac:dyDescent="0.25">
      <c r="A9" s="97" t="s">
        <v>326</v>
      </c>
      <c r="B9" s="98"/>
      <c r="D9" s="97" t="s">
        <v>325</v>
      </c>
      <c r="E9" s="98"/>
    </row>
    <row r="10" spans="1:5" x14ac:dyDescent="0.25">
      <c r="A10" s="4"/>
      <c r="D10" s="5"/>
      <c r="E10" s="6"/>
    </row>
    <row r="11" spans="1:5" ht="18" customHeight="1" x14ac:dyDescent="0.25">
      <c r="A11" s="189" t="s">
        <v>10</v>
      </c>
      <c r="B11" s="189"/>
      <c r="C11" s="189"/>
      <c r="D11" s="189"/>
      <c r="E11" s="189"/>
    </row>
    <row r="12" spans="1:5" x14ac:dyDescent="0.25">
      <c r="C12" s="157" t="s">
        <v>159</v>
      </c>
    </row>
    <row r="13" spans="1:5" x14ac:dyDescent="0.25">
      <c r="C13" s="7"/>
    </row>
    <row r="14" spans="1:5" ht="40.5" customHeight="1" x14ac:dyDescent="0.25">
      <c r="A14" s="190" t="s">
        <v>401</v>
      </c>
      <c r="B14" s="190"/>
      <c r="C14" s="190"/>
      <c r="D14" s="190"/>
      <c r="E14" s="190"/>
    </row>
    <row r="15" spans="1:5" x14ac:dyDescent="0.25">
      <c r="A15" s="8"/>
      <c r="B15" s="8"/>
      <c r="C15" s="8"/>
      <c r="D15" s="8"/>
      <c r="E15" s="8"/>
    </row>
    <row r="16" spans="1:5" ht="95.25" customHeight="1" x14ac:dyDescent="0.25">
      <c r="A16" s="9" t="s">
        <v>12</v>
      </c>
      <c r="B16" s="9" t="s">
        <v>13</v>
      </c>
      <c r="C16" s="9" t="s">
        <v>14</v>
      </c>
      <c r="D16" s="9" t="s">
        <v>15</v>
      </c>
      <c r="E16" s="9" t="s">
        <v>16</v>
      </c>
    </row>
    <row r="17" spans="1:5" ht="123.75" customHeight="1" x14ac:dyDescent="0.25">
      <c r="A17" s="10">
        <v>1</v>
      </c>
      <c r="B17" s="11" t="s">
        <v>402</v>
      </c>
      <c r="C17" s="11" t="s">
        <v>403</v>
      </c>
      <c r="D17" s="12" t="s">
        <v>404</v>
      </c>
      <c r="E17" s="13">
        <f>993.98*2.4*1.2*0.805*4.15</f>
        <v>9563.4394128000004</v>
      </c>
    </row>
    <row r="18" spans="1:5" ht="65.25" customHeight="1" x14ac:dyDescent="0.25">
      <c r="A18" s="10">
        <v>2</v>
      </c>
      <c r="B18" s="158" t="s">
        <v>17</v>
      </c>
      <c r="C18" s="12" t="s">
        <v>18</v>
      </c>
      <c r="D18" s="12" t="s">
        <v>365</v>
      </c>
      <c r="E18" s="13">
        <f>800*1*0.5*4.15</f>
        <v>1660.0000000000002</v>
      </c>
    </row>
    <row r="19" spans="1:5" ht="48" customHeight="1" x14ac:dyDescent="0.25">
      <c r="A19" s="10">
        <v>3</v>
      </c>
      <c r="B19" s="12" t="s">
        <v>20</v>
      </c>
      <c r="C19" s="15" t="s">
        <v>21</v>
      </c>
      <c r="D19" s="16">
        <f>(E17+E18)*0.1</f>
        <v>1122.3439412800001</v>
      </c>
      <c r="E19" s="17">
        <f>D19</f>
        <v>1122.3439412800001</v>
      </c>
    </row>
    <row r="20" spans="1:5" ht="48" customHeight="1" x14ac:dyDescent="0.25">
      <c r="A20" s="10">
        <v>4</v>
      </c>
      <c r="B20" s="119" t="s">
        <v>80</v>
      </c>
      <c r="C20" s="12" t="s">
        <v>89</v>
      </c>
      <c r="D20" s="16"/>
      <c r="E20" s="17">
        <v>2295.84</v>
      </c>
    </row>
    <row r="21" spans="1:5" ht="48" customHeight="1" x14ac:dyDescent="0.25">
      <c r="A21" s="10">
        <v>5</v>
      </c>
      <c r="B21" s="119" t="s">
        <v>23</v>
      </c>
      <c r="C21" s="118"/>
      <c r="D21" s="16"/>
      <c r="E21" s="17">
        <v>29641</v>
      </c>
    </row>
    <row r="22" spans="1:5" x14ac:dyDescent="0.25">
      <c r="A22" s="28">
        <v>6</v>
      </c>
      <c r="B22" s="19" t="s">
        <v>24</v>
      </c>
      <c r="C22" s="15"/>
      <c r="D22" s="15" t="s">
        <v>287</v>
      </c>
      <c r="E22" s="17">
        <f>E19+E18+E17+E20+E21</f>
        <v>44282.623354080002</v>
      </c>
    </row>
    <row r="23" spans="1:5" x14ac:dyDescent="0.25">
      <c r="A23" s="28">
        <v>7</v>
      </c>
      <c r="B23" s="19" t="s">
        <v>249</v>
      </c>
      <c r="C23" s="15"/>
      <c r="D23" s="15" t="s">
        <v>288</v>
      </c>
      <c r="E23" s="17">
        <f>ROUND(E22*20%,2)</f>
        <v>8856.52</v>
      </c>
    </row>
    <row r="24" spans="1:5" x14ac:dyDescent="0.25">
      <c r="A24" s="28">
        <v>8</v>
      </c>
      <c r="B24" s="19" t="s">
        <v>26</v>
      </c>
      <c r="C24" s="15"/>
      <c r="D24" s="15" t="s">
        <v>289</v>
      </c>
      <c r="E24" s="17">
        <f>E22+E23</f>
        <v>53139.143354080006</v>
      </c>
    </row>
    <row r="25" spans="1:5" x14ac:dyDescent="0.25">
      <c r="A25" s="20"/>
      <c r="B25" s="21"/>
      <c r="C25" s="22"/>
      <c r="D25" s="22"/>
      <c r="E25" s="23"/>
    </row>
    <row r="26" spans="1:5" x14ac:dyDescent="0.25">
      <c r="A26" s="1" t="s">
        <v>2</v>
      </c>
    </row>
    <row r="27" spans="1:5" x14ac:dyDescent="0.25">
      <c r="A27" s="1" t="s">
        <v>27</v>
      </c>
    </row>
    <row r="28" spans="1:5" x14ac:dyDescent="0.25">
      <c r="A28" s="1" t="s">
        <v>31</v>
      </c>
    </row>
    <row r="29" spans="1:5" x14ac:dyDescent="0.25">
      <c r="A29" s="4" t="s">
        <v>28</v>
      </c>
    </row>
    <row r="30" spans="1:5" x14ac:dyDescent="0.25">
      <c r="A30" s="1" t="s">
        <v>352</v>
      </c>
    </row>
    <row r="34" spans="5:5" x14ac:dyDescent="0.25">
      <c r="E34" s="1" t="s">
        <v>30</v>
      </c>
    </row>
  </sheetData>
  <mergeCells count="3">
    <mergeCell ref="B1:D1"/>
    <mergeCell ref="A11:E11"/>
    <mergeCell ref="A14:E14"/>
  </mergeCells>
  <pageMargins left="0.19685039370078741" right="0.19685039370078741" top="0.19685039370078741" bottom="0.19685039370078741" header="0.51181102362204722" footer="0.51181102362204722"/>
  <pageSetup paperSize="9" orientation="portrait" r:id="rId1"/>
  <headerFooter alignWithMargins="0"/>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4"/>
  <sheetViews>
    <sheetView zoomScaleNormal="100" workbookViewId="0">
      <selection activeCell="C34" sqref="C34"/>
    </sheetView>
  </sheetViews>
  <sheetFormatPr defaultRowHeight="15.75" x14ac:dyDescent="0.25"/>
  <cols>
    <col min="1" max="1" width="4.7109375" style="1" customWidth="1"/>
    <col min="2" max="2" width="26.140625" style="1" customWidth="1"/>
    <col min="3" max="3" width="33" style="1" customWidth="1"/>
    <col min="4" max="4" width="26.5703125" style="1" customWidth="1"/>
    <col min="5" max="5" width="11.85546875" style="1" customWidth="1"/>
    <col min="6" max="16384" width="9.140625" style="1"/>
  </cols>
  <sheetData>
    <row r="1" spans="1:5" x14ac:dyDescent="0.25">
      <c r="B1" s="188" t="s">
        <v>327</v>
      </c>
      <c r="C1" s="188"/>
      <c r="D1" s="188"/>
    </row>
    <row r="3" spans="1:5" x14ac:dyDescent="0.25">
      <c r="A3" s="92" t="s">
        <v>230</v>
      </c>
      <c r="B3" s="93"/>
      <c r="C3" s="94"/>
      <c r="D3" s="92" t="s">
        <v>231</v>
      </c>
      <c r="E3"/>
    </row>
    <row r="4" spans="1:5" x14ac:dyDescent="0.25">
      <c r="A4" s="95" t="s">
        <v>232</v>
      </c>
      <c r="B4" s="96"/>
      <c r="C4" s="94"/>
      <c r="D4" s="95" t="s">
        <v>233</v>
      </c>
      <c r="E4"/>
    </row>
    <row r="5" spans="1:5" x14ac:dyDescent="0.25">
      <c r="A5" s="97" t="s">
        <v>4</v>
      </c>
      <c r="B5" s="98"/>
      <c r="C5" s="20"/>
      <c r="D5" s="97" t="s">
        <v>183</v>
      </c>
      <c r="E5" s="99"/>
    </row>
    <row r="6" spans="1:5" x14ac:dyDescent="0.25">
      <c r="A6" s="97" t="s">
        <v>235</v>
      </c>
      <c r="B6" s="98"/>
      <c r="C6" s="100"/>
      <c r="D6" s="97" t="s">
        <v>5</v>
      </c>
      <c r="E6" s="101"/>
    </row>
    <row r="7" spans="1:5" x14ac:dyDescent="0.25">
      <c r="A7"/>
      <c r="B7" s="102"/>
      <c r="C7"/>
      <c r="D7" s="97"/>
      <c r="E7" s="99"/>
    </row>
    <row r="8" spans="1:5" x14ac:dyDescent="0.25">
      <c r="A8" s="97" t="s">
        <v>236</v>
      </c>
      <c r="B8" s="98"/>
      <c r="D8" s="97" t="s">
        <v>237</v>
      </c>
      <c r="E8" s="99"/>
    </row>
    <row r="9" spans="1:5" x14ac:dyDescent="0.25">
      <c r="A9" s="97" t="s">
        <v>326</v>
      </c>
      <c r="B9" s="98"/>
      <c r="D9" s="97" t="s">
        <v>325</v>
      </c>
      <c r="E9" s="98"/>
    </row>
    <row r="10" spans="1:5" x14ac:dyDescent="0.25">
      <c r="A10" s="4"/>
      <c r="D10" s="5"/>
      <c r="E10" s="6"/>
    </row>
    <row r="11" spans="1:5" ht="18" customHeight="1" x14ac:dyDescent="0.25">
      <c r="A11" s="189" t="s">
        <v>10</v>
      </c>
      <c r="B11" s="189"/>
      <c r="C11" s="189"/>
      <c r="D11" s="189"/>
      <c r="E11" s="189"/>
    </row>
    <row r="12" spans="1:5" x14ac:dyDescent="0.25">
      <c r="C12" s="159" t="s">
        <v>159</v>
      </c>
    </row>
    <row r="13" spans="1:5" x14ac:dyDescent="0.25">
      <c r="C13" s="7"/>
    </row>
    <row r="14" spans="1:5" ht="40.5" customHeight="1" x14ac:dyDescent="0.25">
      <c r="A14" s="190" t="s">
        <v>405</v>
      </c>
      <c r="B14" s="190"/>
      <c r="C14" s="190"/>
      <c r="D14" s="190"/>
      <c r="E14" s="190"/>
    </row>
    <row r="15" spans="1:5" x14ac:dyDescent="0.25">
      <c r="A15" s="8"/>
      <c r="B15" s="8"/>
      <c r="C15" s="8"/>
      <c r="D15" s="8"/>
      <c r="E15" s="8"/>
    </row>
    <row r="16" spans="1:5" ht="95.25" customHeight="1" x14ac:dyDescent="0.25">
      <c r="A16" s="9" t="s">
        <v>12</v>
      </c>
      <c r="B16" s="9" t="s">
        <v>13</v>
      </c>
      <c r="C16" s="9" t="s">
        <v>14</v>
      </c>
      <c r="D16" s="9" t="s">
        <v>15</v>
      </c>
      <c r="E16" s="9" t="s">
        <v>16</v>
      </c>
    </row>
    <row r="17" spans="1:5" ht="123.75" customHeight="1" x14ac:dyDescent="0.25">
      <c r="A17" s="10">
        <v>1</v>
      </c>
      <c r="B17" s="11" t="s">
        <v>406</v>
      </c>
      <c r="C17" s="11" t="s">
        <v>407</v>
      </c>
      <c r="D17" s="12" t="s">
        <v>408</v>
      </c>
      <c r="E17" s="13">
        <f>2199.35*2.4*1.2*0.805*4.15</f>
        <v>21160.738116</v>
      </c>
    </row>
    <row r="18" spans="1:5" ht="65.25" customHeight="1" x14ac:dyDescent="0.25">
      <c r="A18" s="10">
        <v>2</v>
      </c>
      <c r="B18" s="160" t="s">
        <v>17</v>
      </c>
      <c r="C18" s="12" t="s">
        <v>18</v>
      </c>
      <c r="D18" s="12" t="s">
        <v>365</v>
      </c>
      <c r="E18" s="13">
        <f>800*1*0.5*4.15</f>
        <v>1660.0000000000002</v>
      </c>
    </row>
    <row r="19" spans="1:5" ht="48" customHeight="1" x14ac:dyDescent="0.25">
      <c r="A19" s="10">
        <v>3</v>
      </c>
      <c r="B19" s="12" t="s">
        <v>20</v>
      </c>
      <c r="C19" s="15" t="s">
        <v>21</v>
      </c>
      <c r="D19" s="16">
        <f>(E17+E18)*0.1</f>
        <v>2282.0738116000002</v>
      </c>
      <c r="E19" s="17">
        <f>D19</f>
        <v>2282.0738116000002</v>
      </c>
    </row>
    <row r="20" spans="1:5" ht="48" customHeight="1" x14ac:dyDescent="0.25">
      <c r="A20" s="10">
        <v>4</v>
      </c>
      <c r="B20" s="119" t="s">
        <v>80</v>
      </c>
      <c r="C20" s="12" t="s">
        <v>89</v>
      </c>
      <c r="D20" s="16"/>
      <c r="E20" s="17">
        <v>5179.84</v>
      </c>
    </row>
    <row r="21" spans="1:5" ht="48" customHeight="1" x14ac:dyDescent="0.25">
      <c r="A21" s="10">
        <v>5</v>
      </c>
      <c r="B21" s="119" t="s">
        <v>23</v>
      </c>
      <c r="C21" s="118"/>
      <c r="D21" s="16"/>
      <c r="E21" s="17">
        <v>25351.83</v>
      </c>
    </row>
    <row r="22" spans="1:5" x14ac:dyDescent="0.25">
      <c r="A22" s="28">
        <v>6</v>
      </c>
      <c r="B22" s="19" t="s">
        <v>24</v>
      </c>
      <c r="C22" s="15"/>
      <c r="D22" s="15" t="s">
        <v>287</v>
      </c>
      <c r="E22" s="17">
        <f>E19+E18+E17+E20+E21</f>
        <v>55634.481927600005</v>
      </c>
    </row>
    <row r="23" spans="1:5" x14ac:dyDescent="0.25">
      <c r="A23" s="28">
        <v>7</v>
      </c>
      <c r="B23" s="19" t="s">
        <v>249</v>
      </c>
      <c r="C23" s="15"/>
      <c r="D23" s="15" t="s">
        <v>288</v>
      </c>
      <c r="E23" s="17">
        <f>ROUND(E22*20%,2)</f>
        <v>11126.9</v>
      </c>
    </row>
    <row r="24" spans="1:5" x14ac:dyDescent="0.25">
      <c r="A24" s="28">
        <v>8</v>
      </c>
      <c r="B24" s="19" t="s">
        <v>26</v>
      </c>
      <c r="C24" s="15"/>
      <c r="D24" s="15" t="s">
        <v>289</v>
      </c>
      <c r="E24" s="17">
        <f>E22+E23</f>
        <v>66761.381927599999</v>
      </c>
    </row>
    <row r="25" spans="1:5" x14ac:dyDescent="0.25">
      <c r="A25" s="20"/>
      <c r="B25" s="21"/>
      <c r="C25" s="22"/>
      <c r="D25" s="22"/>
      <c r="E25" s="23"/>
    </row>
    <row r="26" spans="1:5" x14ac:dyDescent="0.25">
      <c r="A26" s="1" t="s">
        <v>2</v>
      </c>
    </row>
    <row r="27" spans="1:5" x14ac:dyDescent="0.25">
      <c r="A27" s="1" t="s">
        <v>27</v>
      </c>
    </row>
    <row r="28" spans="1:5" x14ac:dyDescent="0.25">
      <c r="A28" s="1" t="s">
        <v>31</v>
      </c>
    </row>
    <row r="29" spans="1:5" x14ac:dyDescent="0.25">
      <c r="A29" s="4" t="s">
        <v>28</v>
      </c>
    </row>
    <row r="30" spans="1:5" x14ac:dyDescent="0.25">
      <c r="A30" s="1" t="s">
        <v>352</v>
      </c>
    </row>
    <row r="34" spans="5:5" x14ac:dyDescent="0.25">
      <c r="E34" s="1" t="s">
        <v>30</v>
      </c>
    </row>
  </sheetData>
  <mergeCells count="3">
    <mergeCell ref="B1:D1"/>
    <mergeCell ref="A11:E11"/>
    <mergeCell ref="A14:E14"/>
  </mergeCells>
  <pageMargins left="0.19685039370078741" right="0.19685039370078741" top="0.19685039370078741" bottom="0.19685039370078741" header="0.51181102362204722" footer="0.51181102362204722"/>
  <pageSetup paperSize="9" orientation="portrait" r:id="rId1"/>
  <headerFooter alignWithMargins="0"/>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4"/>
  <sheetViews>
    <sheetView topLeftCell="A16" zoomScaleNormal="100" workbookViewId="0">
      <selection activeCell="E17" sqref="E17"/>
    </sheetView>
  </sheetViews>
  <sheetFormatPr defaultRowHeight="15.75" x14ac:dyDescent="0.25"/>
  <cols>
    <col min="1" max="1" width="4.7109375" style="1" customWidth="1"/>
    <col min="2" max="2" width="26.140625" style="1" customWidth="1"/>
    <col min="3" max="3" width="33" style="1" customWidth="1"/>
    <col min="4" max="4" width="26.42578125" style="1" customWidth="1"/>
    <col min="5" max="5" width="11.85546875" style="1" customWidth="1"/>
    <col min="6" max="16384" width="9.140625" style="1"/>
  </cols>
  <sheetData>
    <row r="1" spans="1:5" x14ac:dyDescent="0.25">
      <c r="B1" s="188" t="s">
        <v>327</v>
      </c>
      <c r="C1" s="188"/>
      <c r="D1" s="188"/>
    </row>
    <row r="3" spans="1:5" x14ac:dyDescent="0.25">
      <c r="A3" s="92" t="s">
        <v>230</v>
      </c>
      <c r="B3" s="93"/>
      <c r="C3" s="94"/>
      <c r="D3" s="92" t="s">
        <v>231</v>
      </c>
      <c r="E3"/>
    </row>
    <row r="4" spans="1:5" x14ac:dyDescent="0.25">
      <c r="A4" s="95" t="s">
        <v>232</v>
      </c>
      <c r="B4" s="96"/>
      <c r="C4" s="94"/>
      <c r="D4" s="95" t="s">
        <v>233</v>
      </c>
      <c r="E4"/>
    </row>
    <row r="5" spans="1:5" x14ac:dyDescent="0.25">
      <c r="A5" s="97" t="s">
        <v>4</v>
      </c>
      <c r="B5" s="98"/>
      <c r="C5" s="20"/>
      <c r="D5" s="97" t="s">
        <v>183</v>
      </c>
      <c r="E5" s="99"/>
    </row>
    <row r="6" spans="1:5" x14ac:dyDescent="0.25">
      <c r="A6" s="97" t="s">
        <v>235</v>
      </c>
      <c r="B6" s="98"/>
      <c r="C6" s="100"/>
      <c r="D6" s="97" t="s">
        <v>5</v>
      </c>
      <c r="E6" s="101"/>
    </row>
    <row r="7" spans="1:5" x14ac:dyDescent="0.25">
      <c r="A7"/>
      <c r="B7" s="102"/>
      <c r="C7"/>
      <c r="D7" s="97"/>
      <c r="E7" s="99"/>
    </row>
    <row r="8" spans="1:5" x14ac:dyDescent="0.25">
      <c r="A8" s="97" t="s">
        <v>236</v>
      </c>
      <c r="B8" s="98"/>
      <c r="D8" s="97" t="s">
        <v>237</v>
      </c>
      <c r="E8" s="99"/>
    </row>
    <row r="9" spans="1:5" x14ac:dyDescent="0.25">
      <c r="A9" s="97" t="s">
        <v>326</v>
      </c>
      <c r="B9" s="98"/>
      <c r="D9" s="97" t="s">
        <v>325</v>
      </c>
      <c r="E9" s="98"/>
    </row>
    <row r="10" spans="1:5" x14ac:dyDescent="0.25">
      <c r="A10" s="4"/>
      <c r="D10" s="5"/>
      <c r="E10" s="6"/>
    </row>
    <row r="11" spans="1:5" ht="18" customHeight="1" x14ac:dyDescent="0.25">
      <c r="A11" s="189" t="s">
        <v>10</v>
      </c>
      <c r="B11" s="189"/>
      <c r="C11" s="189"/>
      <c r="D11" s="189"/>
      <c r="E11" s="189"/>
    </row>
    <row r="12" spans="1:5" x14ac:dyDescent="0.25">
      <c r="C12" s="161" t="s">
        <v>159</v>
      </c>
    </row>
    <row r="13" spans="1:5" x14ac:dyDescent="0.25">
      <c r="C13" s="7"/>
    </row>
    <row r="14" spans="1:5" ht="40.5" customHeight="1" x14ac:dyDescent="0.25">
      <c r="A14" s="190" t="s">
        <v>413</v>
      </c>
      <c r="B14" s="190"/>
      <c r="C14" s="190"/>
      <c r="D14" s="190"/>
      <c r="E14" s="190"/>
    </row>
    <row r="15" spans="1:5" x14ac:dyDescent="0.25">
      <c r="A15" s="8"/>
      <c r="B15" s="8"/>
      <c r="C15" s="8"/>
      <c r="D15" s="8"/>
      <c r="E15" s="8"/>
    </row>
    <row r="16" spans="1:5" ht="95.25" customHeight="1" x14ac:dyDescent="0.25">
      <c r="A16" s="9" t="s">
        <v>12</v>
      </c>
      <c r="B16" s="9" t="s">
        <v>13</v>
      </c>
      <c r="C16" s="9" t="s">
        <v>14</v>
      </c>
      <c r="D16" s="9" t="s">
        <v>15</v>
      </c>
      <c r="E16" s="9" t="s">
        <v>16</v>
      </c>
    </row>
    <row r="17" spans="1:5" ht="123.75" customHeight="1" x14ac:dyDescent="0.25">
      <c r="A17" s="10">
        <v>1</v>
      </c>
      <c r="B17" s="11" t="s">
        <v>409</v>
      </c>
      <c r="C17" s="11" t="s">
        <v>410</v>
      </c>
      <c r="D17" s="12" t="s">
        <v>411</v>
      </c>
      <c r="E17" s="13">
        <f>1245.64*2.4*1.2*0.805*4.21</f>
        <v>12158.024376960002</v>
      </c>
    </row>
    <row r="18" spans="1:5" ht="65.25" customHeight="1" x14ac:dyDescent="0.25">
      <c r="A18" s="10">
        <v>2</v>
      </c>
      <c r="B18" s="162" t="s">
        <v>17</v>
      </c>
      <c r="C18" s="12" t="s">
        <v>18</v>
      </c>
      <c r="D18" s="12" t="s">
        <v>412</v>
      </c>
      <c r="E18" s="13">
        <f>800*1*0.5*4.21</f>
        <v>1684</v>
      </c>
    </row>
    <row r="19" spans="1:5" ht="48" customHeight="1" x14ac:dyDescent="0.25">
      <c r="A19" s="10">
        <v>3</v>
      </c>
      <c r="B19" s="12" t="s">
        <v>20</v>
      </c>
      <c r="C19" s="15" t="s">
        <v>21</v>
      </c>
      <c r="D19" s="16">
        <f>(E17+E18)*0.1</f>
        <v>1384.2024376960003</v>
      </c>
      <c r="E19" s="17">
        <f>D19</f>
        <v>1384.2024376960003</v>
      </c>
    </row>
    <row r="20" spans="1:5" ht="48" customHeight="1" x14ac:dyDescent="0.25">
      <c r="A20" s="10">
        <v>4</v>
      </c>
      <c r="B20" s="119" t="s">
        <v>80</v>
      </c>
      <c r="C20" s="12" t="s">
        <v>89</v>
      </c>
      <c r="D20" s="16"/>
      <c r="E20" s="17">
        <v>16473.34</v>
      </c>
    </row>
    <row r="21" spans="1:5" ht="48" customHeight="1" x14ac:dyDescent="0.25">
      <c r="A21" s="10">
        <v>5</v>
      </c>
      <c r="B21" s="119" t="s">
        <v>23</v>
      </c>
      <c r="C21" s="118"/>
      <c r="D21" s="16"/>
      <c r="E21" s="17">
        <v>27722</v>
      </c>
    </row>
    <row r="22" spans="1:5" x14ac:dyDescent="0.25">
      <c r="A22" s="28">
        <v>6</v>
      </c>
      <c r="B22" s="19" t="s">
        <v>24</v>
      </c>
      <c r="C22" s="15"/>
      <c r="D22" s="15" t="s">
        <v>287</v>
      </c>
      <c r="E22" s="17">
        <f>E19+E18+E17+E20+E21</f>
        <v>59421.566814656006</v>
      </c>
    </row>
    <row r="23" spans="1:5" x14ac:dyDescent="0.25">
      <c r="A23" s="28">
        <v>7</v>
      </c>
      <c r="B23" s="19" t="s">
        <v>249</v>
      </c>
      <c r="C23" s="15"/>
      <c r="D23" s="15" t="s">
        <v>288</v>
      </c>
      <c r="E23" s="17">
        <f>ROUND(E22*20%,2)</f>
        <v>11884.31</v>
      </c>
    </row>
    <row r="24" spans="1:5" x14ac:dyDescent="0.25">
      <c r="A24" s="28">
        <v>8</v>
      </c>
      <c r="B24" s="19" t="s">
        <v>26</v>
      </c>
      <c r="C24" s="15"/>
      <c r="D24" s="15" t="s">
        <v>289</v>
      </c>
      <c r="E24" s="17">
        <f>E22+E23</f>
        <v>71305.876814656003</v>
      </c>
    </row>
    <row r="25" spans="1:5" x14ac:dyDescent="0.25">
      <c r="A25" s="20"/>
      <c r="B25" s="21"/>
      <c r="C25" s="22"/>
      <c r="D25" s="22"/>
      <c r="E25" s="23"/>
    </row>
    <row r="26" spans="1:5" x14ac:dyDescent="0.25">
      <c r="A26" s="1" t="s">
        <v>2</v>
      </c>
    </row>
    <row r="27" spans="1:5" x14ac:dyDescent="0.25">
      <c r="A27" s="1" t="s">
        <v>27</v>
      </c>
    </row>
    <row r="28" spans="1:5" x14ac:dyDescent="0.25">
      <c r="A28" s="1" t="s">
        <v>31</v>
      </c>
    </row>
    <row r="29" spans="1:5" x14ac:dyDescent="0.25">
      <c r="A29" s="4" t="s">
        <v>28</v>
      </c>
    </row>
    <row r="30" spans="1:5" x14ac:dyDescent="0.25">
      <c r="A30" s="1" t="s">
        <v>352</v>
      </c>
    </row>
    <row r="34" spans="5:5" x14ac:dyDescent="0.25">
      <c r="E34" s="1" t="s">
        <v>30</v>
      </c>
    </row>
  </sheetData>
  <mergeCells count="3">
    <mergeCell ref="B1:D1"/>
    <mergeCell ref="A11:E11"/>
    <mergeCell ref="A14:E14"/>
  </mergeCells>
  <pageMargins left="0.19685039370078741" right="0.19685039370078741" top="0.19685039370078741" bottom="0.19685039370078741" header="0.51181102362204722" footer="0.51181102362204722"/>
  <pageSetup paperSize="9"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4"/>
  <sheetViews>
    <sheetView topLeftCell="A8" zoomScaleNormal="100" workbookViewId="0">
      <selection activeCell="C16" sqref="C16"/>
    </sheetView>
  </sheetViews>
  <sheetFormatPr defaultRowHeight="15.75" x14ac:dyDescent="0.25"/>
  <cols>
    <col min="1" max="1" width="4.7109375" style="1" customWidth="1"/>
    <col min="2" max="2" width="26.140625" style="1" customWidth="1"/>
    <col min="3" max="3" width="33" style="1" customWidth="1"/>
    <col min="4" max="4" width="26.7109375" style="1" customWidth="1"/>
    <col min="5" max="5" width="11.85546875" style="1" customWidth="1"/>
    <col min="6" max="16384" width="9.140625" style="1"/>
  </cols>
  <sheetData>
    <row r="1" spans="1:5" x14ac:dyDescent="0.25">
      <c r="B1" s="188" t="s">
        <v>55</v>
      </c>
      <c r="C1" s="188"/>
      <c r="D1" s="188"/>
    </row>
    <row r="3" spans="1:5" x14ac:dyDescent="0.25">
      <c r="A3" s="1" t="s">
        <v>1</v>
      </c>
      <c r="D3" s="2" t="s">
        <v>2</v>
      </c>
      <c r="E3" s="3"/>
    </row>
    <row r="4" spans="1:5" x14ac:dyDescent="0.25">
      <c r="A4" s="1" t="s">
        <v>3</v>
      </c>
      <c r="D4" s="2" t="s">
        <v>4</v>
      </c>
      <c r="E4" s="3"/>
    </row>
    <row r="5" spans="1:5" x14ac:dyDescent="0.25">
      <c r="A5" s="1" t="s">
        <v>5</v>
      </c>
      <c r="D5" s="2" t="s">
        <v>6</v>
      </c>
      <c r="E5" s="3"/>
    </row>
    <row r="6" spans="1:5" x14ac:dyDescent="0.25">
      <c r="D6" s="3"/>
      <c r="E6" s="3"/>
    </row>
    <row r="7" spans="1:5" x14ac:dyDescent="0.25">
      <c r="A7" s="4" t="s">
        <v>54</v>
      </c>
      <c r="D7" s="2" t="s">
        <v>8</v>
      </c>
      <c r="E7" s="3"/>
    </row>
    <row r="8" spans="1:5" x14ac:dyDescent="0.25">
      <c r="A8" s="4" t="s">
        <v>45</v>
      </c>
      <c r="D8" s="2" t="str">
        <f>A8</f>
        <v>"___" ___________ 2018 г.</v>
      </c>
      <c r="E8" s="3"/>
    </row>
    <row r="9" spans="1:5" x14ac:dyDescent="0.25">
      <c r="A9" s="4"/>
      <c r="D9" s="5"/>
      <c r="E9" s="6"/>
    </row>
    <row r="10" spans="1:5" ht="18" customHeight="1" x14ac:dyDescent="0.25">
      <c r="A10" s="189" t="s">
        <v>10</v>
      </c>
      <c r="B10" s="189"/>
      <c r="C10" s="189"/>
      <c r="D10" s="189"/>
      <c r="E10" s="189"/>
    </row>
    <row r="11" spans="1:5" x14ac:dyDescent="0.25">
      <c r="C11" s="7" t="s">
        <v>11</v>
      </c>
    </row>
    <row r="12" spans="1:5" x14ac:dyDescent="0.25">
      <c r="C12" s="7"/>
    </row>
    <row r="13" spans="1:5" ht="33" customHeight="1" x14ac:dyDescent="0.25">
      <c r="A13" s="190" t="s">
        <v>56</v>
      </c>
      <c r="B13" s="190"/>
      <c r="C13" s="190"/>
      <c r="D13" s="190"/>
      <c r="E13" s="190"/>
    </row>
    <row r="14" spans="1:5" ht="0.75" customHeight="1" x14ac:dyDescent="0.25">
      <c r="A14" s="190"/>
      <c r="B14" s="190"/>
      <c r="C14" s="190"/>
      <c r="D14" s="190"/>
      <c r="E14" s="190"/>
    </row>
    <row r="15" spans="1:5" x14ac:dyDescent="0.25">
      <c r="A15" s="8"/>
      <c r="B15" s="8"/>
      <c r="C15" s="8"/>
      <c r="D15" s="8"/>
      <c r="E15" s="8"/>
    </row>
    <row r="16" spans="1:5" ht="95.25" customHeight="1" x14ac:dyDescent="0.25">
      <c r="A16" s="9" t="s">
        <v>12</v>
      </c>
      <c r="B16" s="9" t="s">
        <v>13</v>
      </c>
      <c r="C16" s="9" t="s">
        <v>14</v>
      </c>
      <c r="D16" s="9" t="s">
        <v>15</v>
      </c>
      <c r="E16" s="9" t="s">
        <v>16</v>
      </c>
    </row>
    <row r="17" spans="1:5" ht="123.75" customHeight="1" x14ac:dyDescent="0.25">
      <c r="A17" s="10">
        <v>1</v>
      </c>
      <c r="B17" s="11" t="s">
        <v>57</v>
      </c>
      <c r="C17" s="11" t="s">
        <v>58</v>
      </c>
      <c r="D17" s="12" t="s">
        <v>59</v>
      </c>
      <c r="E17" s="13">
        <f>25678.75*2.4*1.2*0.805*3.99</f>
        <v>237539.11986000004</v>
      </c>
    </row>
    <row r="18" spans="1:5" ht="57.75" customHeight="1" x14ac:dyDescent="0.25">
      <c r="A18" s="10">
        <v>2</v>
      </c>
      <c r="B18" s="14" t="s">
        <v>17</v>
      </c>
      <c r="C18" s="12" t="s">
        <v>18</v>
      </c>
      <c r="D18" s="12" t="s">
        <v>19</v>
      </c>
      <c r="E18" s="13">
        <f>800*1*0.5*3.99</f>
        <v>1596</v>
      </c>
    </row>
    <row r="19" spans="1:5" ht="48" customHeight="1" x14ac:dyDescent="0.25">
      <c r="A19" s="10">
        <v>3</v>
      </c>
      <c r="B19" s="12" t="s">
        <v>20</v>
      </c>
      <c r="C19" s="15" t="s">
        <v>21</v>
      </c>
      <c r="D19" s="16">
        <f>(E17+E18)*0.1</f>
        <v>23913.511986000005</v>
      </c>
      <c r="E19" s="17">
        <f>D19</f>
        <v>23913.511986000005</v>
      </c>
    </row>
    <row r="20" spans="1:5" ht="48" customHeight="1" x14ac:dyDescent="0.25">
      <c r="A20" s="10">
        <v>4</v>
      </c>
      <c r="B20" s="12" t="s">
        <v>22</v>
      </c>
      <c r="C20" s="15"/>
      <c r="D20" s="16"/>
      <c r="E20" s="17">
        <v>58000</v>
      </c>
    </row>
    <row r="21" spans="1:5" ht="48" customHeight="1" x14ac:dyDescent="0.25">
      <c r="A21" s="10">
        <v>5</v>
      </c>
      <c r="B21" s="12" t="s">
        <v>23</v>
      </c>
      <c r="C21" s="15"/>
      <c r="D21" s="16"/>
      <c r="E21" s="17">
        <v>27451</v>
      </c>
    </row>
    <row r="22" spans="1:5" x14ac:dyDescent="0.25">
      <c r="A22" s="18"/>
      <c r="B22" s="19" t="s">
        <v>24</v>
      </c>
      <c r="C22" s="15"/>
      <c r="D22" s="15"/>
      <c r="E22" s="17">
        <f>E21+E20+E19+E18+E17</f>
        <v>348499.63184600003</v>
      </c>
    </row>
    <row r="23" spans="1:5" x14ac:dyDescent="0.25">
      <c r="A23" s="18"/>
      <c r="B23" s="19" t="s">
        <v>25</v>
      </c>
      <c r="C23" s="15"/>
      <c r="D23" s="15"/>
      <c r="E23" s="17">
        <f>ROUND(E22*18%,2)</f>
        <v>62729.93</v>
      </c>
    </row>
    <row r="24" spans="1:5" x14ac:dyDescent="0.25">
      <c r="A24" s="18"/>
      <c r="B24" s="19" t="s">
        <v>26</v>
      </c>
      <c r="C24" s="15"/>
      <c r="D24" s="15"/>
      <c r="E24" s="17">
        <f>E22+E23</f>
        <v>411229.56184600003</v>
      </c>
    </row>
    <row r="25" spans="1:5" x14ac:dyDescent="0.25">
      <c r="A25" s="20"/>
      <c r="B25" s="21"/>
      <c r="C25" s="22"/>
      <c r="D25" s="22"/>
      <c r="E25" s="23"/>
    </row>
    <row r="26" spans="1:5" x14ac:dyDescent="0.25">
      <c r="A26" s="1" t="s">
        <v>2</v>
      </c>
    </row>
    <row r="27" spans="1:5" x14ac:dyDescent="0.25">
      <c r="A27" s="1" t="s">
        <v>27</v>
      </c>
    </row>
    <row r="28" spans="1:5" x14ac:dyDescent="0.25">
      <c r="A28" s="1" t="s">
        <v>31</v>
      </c>
    </row>
    <row r="29" spans="1:5" x14ac:dyDescent="0.25">
      <c r="A29" s="4" t="s">
        <v>28</v>
      </c>
    </row>
    <row r="30" spans="1:5" x14ac:dyDescent="0.25">
      <c r="A30" s="1" t="s">
        <v>29</v>
      </c>
    </row>
    <row r="34" spans="5:5" x14ac:dyDescent="0.25">
      <c r="E34" s="1" t="s">
        <v>30</v>
      </c>
    </row>
  </sheetData>
  <mergeCells count="4">
    <mergeCell ref="B1:D1"/>
    <mergeCell ref="A10:E10"/>
    <mergeCell ref="A13:E13"/>
    <mergeCell ref="A14:E14"/>
  </mergeCells>
  <pageMargins left="0.19685039370078741" right="0.19685039370078741" top="0.19685039370078741" bottom="0.19685039370078741" header="0.51181102362204722" footer="0.51181102362204722"/>
  <pageSetup paperSize="9" orientation="portrait" r:id="rId1"/>
  <headerFooter alignWithMargins="0"/>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4"/>
  <sheetViews>
    <sheetView topLeftCell="A19" zoomScaleNormal="100" workbookViewId="0">
      <selection activeCell="E17" sqref="E17"/>
    </sheetView>
  </sheetViews>
  <sheetFormatPr defaultRowHeight="15.75" x14ac:dyDescent="0.25"/>
  <cols>
    <col min="1" max="1" width="4.7109375" style="1" customWidth="1"/>
    <col min="2" max="2" width="26.140625" style="1" customWidth="1"/>
    <col min="3" max="3" width="33" style="1" customWidth="1"/>
    <col min="4" max="4" width="26.42578125" style="1" customWidth="1"/>
    <col min="5" max="5" width="11.85546875" style="1" customWidth="1"/>
    <col min="6" max="16384" width="9.140625" style="1"/>
  </cols>
  <sheetData>
    <row r="1" spans="1:5" x14ac:dyDescent="0.25">
      <c r="B1" s="188" t="s">
        <v>327</v>
      </c>
      <c r="C1" s="188"/>
      <c r="D1" s="188"/>
    </row>
    <row r="3" spans="1:5" x14ac:dyDescent="0.25">
      <c r="A3" s="92" t="s">
        <v>230</v>
      </c>
      <c r="B3" s="93"/>
      <c r="C3" s="94"/>
      <c r="D3" s="92" t="s">
        <v>231</v>
      </c>
      <c r="E3"/>
    </row>
    <row r="4" spans="1:5" x14ac:dyDescent="0.25">
      <c r="A4" s="95" t="s">
        <v>232</v>
      </c>
      <c r="B4" s="96"/>
      <c r="C4" s="94"/>
      <c r="D4" s="95" t="s">
        <v>233</v>
      </c>
      <c r="E4"/>
    </row>
    <row r="5" spans="1:5" x14ac:dyDescent="0.25">
      <c r="A5" s="97" t="s">
        <v>4</v>
      </c>
      <c r="B5" s="98"/>
      <c r="C5" s="20"/>
      <c r="D5" s="97" t="s">
        <v>183</v>
      </c>
      <c r="E5" s="99"/>
    </row>
    <row r="6" spans="1:5" x14ac:dyDescent="0.25">
      <c r="A6" s="97" t="s">
        <v>235</v>
      </c>
      <c r="B6" s="98"/>
      <c r="C6" s="100"/>
      <c r="D6" s="97" t="s">
        <v>5</v>
      </c>
      <c r="E6" s="101"/>
    </row>
    <row r="7" spans="1:5" x14ac:dyDescent="0.25">
      <c r="A7"/>
      <c r="B7" s="102"/>
      <c r="C7"/>
      <c r="D7" s="97"/>
      <c r="E7" s="99"/>
    </row>
    <row r="8" spans="1:5" x14ac:dyDescent="0.25">
      <c r="A8" s="97" t="s">
        <v>236</v>
      </c>
      <c r="B8" s="98"/>
      <c r="D8" s="97" t="s">
        <v>237</v>
      </c>
      <c r="E8" s="99"/>
    </row>
    <row r="9" spans="1:5" x14ac:dyDescent="0.25">
      <c r="A9" s="97" t="s">
        <v>326</v>
      </c>
      <c r="B9" s="98"/>
      <c r="D9" s="97" t="s">
        <v>325</v>
      </c>
      <c r="E9" s="98"/>
    </row>
    <row r="10" spans="1:5" x14ac:dyDescent="0.25">
      <c r="A10" s="4"/>
      <c r="D10" s="5"/>
      <c r="E10" s="6"/>
    </row>
    <row r="11" spans="1:5" ht="18" customHeight="1" x14ac:dyDescent="0.25">
      <c r="A11" s="189" t="s">
        <v>10</v>
      </c>
      <c r="B11" s="189"/>
      <c r="C11" s="189"/>
      <c r="D11" s="189"/>
      <c r="E11" s="189"/>
    </row>
    <row r="12" spans="1:5" x14ac:dyDescent="0.25">
      <c r="C12" s="163" t="s">
        <v>159</v>
      </c>
    </row>
    <row r="13" spans="1:5" x14ac:dyDescent="0.25">
      <c r="C13" s="7"/>
    </row>
    <row r="14" spans="1:5" ht="40.5" customHeight="1" x14ac:dyDescent="0.25">
      <c r="A14" s="190" t="s">
        <v>417</v>
      </c>
      <c r="B14" s="190"/>
      <c r="C14" s="190"/>
      <c r="D14" s="190"/>
      <c r="E14" s="190"/>
    </row>
    <row r="15" spans="1:5" x14ac:dyDescent="0.25">
      <c r="A15" s="8"/>
      <c r="B15" s="8"/>
      <c r="C15" s="8"/>
      <c r="D15" s="8"/>
      <c r="E15" s="8"/>
    </row>
    <row r="16" spans="1:5" ht="95.25" customHeight="1" x14ac:dyDescent="0.25">
      <c r="A16" s="9" t="s">
        <v>12</v>
      </c>
      <c r="B16" s="9" t="s">
        <v>13</v>
      </c>
      <c r="C16" s="9" t="s">
        <v>14</v>
      </c>
      <c r="D16" s="9" t="s">
        <v>15</v>
      </c>
      <c r="E16" s="9" t="s">
        <v>16</v>
      </c>
    </row>
    <row r="17" spans="1:5" ht="123.75" customHeight="1" x14ac:dyDescent="0.25">
      <c r="A17" s="10">
        <v>1</v>
      </c>
      <c r="B17" s="11" t="s">
        <v>414</v>
      </c>
      <c r="C17" s="11" t="s">
        <v>415</v>
      </c>
      <c r="D17" s="12" t="s">
        <v>416</v>
      </c>
      <c r="E17" s="13">
        <f>3535.09*2.4*1.2*0.805*4.21</f>
        <v>34504.118681760003</v>
      </c>
    </row>
    <row r="18" spans="1:5" ht="65.25" customHeight="1" x14ac:dyDescent="0.25">
      <c r="A18" s="10">
        <v>2</v>
      </c>
      <c r="B18" s="164" t="s">
        <v>17</v>
      </c>
      <c r="C18" s="12" t="s">
        <v>18</v>
      </c>
      <c r="D18" s="12" t="s">
        <v>412</v>
      </c>
      <c r="E18" s="13">
        <f>800*1*0.5*4.21</f>
        <v>1684</v>
      </c>
    </row>
    <row r="19" spans="1:5" ht="48" customHeight="1" x14ac:dyDescent="0.25">
      <c r="A19" s="10">
        <v>3</v>
      </c>
      <c r="B19" s="12" t="s">
        <v>20</v>
      </c>
      <c r="C19" s="15" t="s">
        <v>21</v>
      </c>
      <c r="D19" s="16">
        <f>(E17+E18)*0.1</f>
        <v>3618.8118681760006</v>
      </c>
      <c r="E19" s="17">
        <f>D19</f>
        <v>3618.8118681760006</v>
      </c>
    </row>
    <row r="20" spans="1:5" ht="48" customHeight="1" x14ac:dyDescent="0.25">
      <c r="A20" s="10">
        <v>4</v>
      </c>
      <c r="B20" s="119" t="s">
        <v>80</v>
      </c>
      <c r="C20" s="12" t="s">
        <v>89</v>
      </c>
      <c r="D20" s="16"/>
      <c r="E20" s="17">
        <v>16473.34</v>
      </c>
    </row>
    <row r="21" spans="1:5" ht="48" customHeight="1" x14ac:dyDescent="0.25">
      <c r="A21" s="10">
        <v>5</v>
      </c>
      <c r="B21" s="119" t="s">
        <v>23</v>
      </c>
      <c r="C21" s="118"/>
      <c r="D21" s="16"/>
      <c r="E21" s="17">
        <v>44972</v>
      </c>
    </row>
    <row r="22" spans="1:5" x14ac:dyDescent="0.25">
      <c r="A22" s="28">
        <v>6</v>
      </c>
      <c r="B22" s="19" t="s">
        <v>24</v>
      </c>
      <c r="C22" s="15"/>
      <c r="D22" s="15" t="s">
        <v>287</v>
      </c>
      <c r="E22" s="17">
        <f>E19+E18+E17+E20+E21</f>
        <v>101252.270549936</v>
      </c>
    </row>
    <row r="23" spans="1:5" x14ac:dyDescent="0.25">
      <c r="A23" s="28">
        <v>7</v>
      </c>
      <c r="B23" s="19" t="s">
        <v>249</v>
      </c>
      <c r="C23" s="15"/>
      <c r="D23" s="15" t="s">
        <v>288</v>
      </c>
      <c r="E23" s="17">
        <f>ROUND(E22*20%,2)</f>
        <v>20250.45</v>
      </c>
    </row>
    <row r="24" spans="1:5" x14ac:dyDescent="0.25">
      <c r="A24" s="28">
        <v>8</v>
      </c>
      <c r="B24" s="19" t="s">
        <v>26</v>
      </c>
      <c r="C24" s="15"/>
      <c r="D24" s="15" t="s">
        <v>289</v>
      </c>
      <c r="E24" s="17">
        <f>E22+E23</f>
        <v>121502.720549936</v>
      </c>
    </row>
    <row r="25" spans="1:5" x14ac:dyDescent="0.25">
      <c r="A25" s="20"/>
      <c r="B25" s="21"/>
      <c r="C25" s="22"/>
      <c r="D25" s="22"/>
      <c r="E25" s="23"/>
    </row>
    <row r="26" spans="1:5" x14ac:dyDescent="0.25">
      <c r="A26" s="1" t="s">
        <v>2</v>
      </c>
    </row>
    <row r="27" spans="1:5" x14ac:dyDescent="0.25">
      <c r="A27" s="1" t="s">
        <v>27</v>
      </c>
    </row>
    <row r="28" spans="1:5" x14ac:dyDescent="0.25">
      <c r="A28" s="1" t="s">
        <v>31</v>
      </c>
    </row>
    <row r="29" spans="1:5" x14ac:dyDescent="0.25">
      <c r="A29" s="4" t="s">
        <v>28</v>
      </c>
    </row>
    <row r="30" spans="1:5" x14ac:dyDescent="0.25">
      <c r="A30" s="1" t="s">
        <v>352</v>
      </c>
    </row>
    <row r="34" spans="5:5" x14ac:dyDescent="0.25">
      <c r="E34" s="1" t="s">
        <v>30</v>
      </c>
    </row>
  </sheetData>
  <mergeCells count="3">
    <mergeCell ref="B1:D1"/>
    <mergeCell ref="A11:E11"/>
    <mergeCell ref="A14:E14"/>
  </mergeCells>
  <pageMargins left="0.19685039370078741" right="0.19685039370078741" top="0.19685039370078741" bottom="0.19685039370078741" header="0.51181102362204722" footer="0.51181102362204722"/>
  <pageSetup paperSize="9" orientation="portrait" r:id="rId1"/>
  <headerFooter alignWithMargins="0"/>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4"/>
  <sheetViews>
    <sheetView zoomScaleNormal="100" workbookViewId="0">
      <selection activeCell="C34" sqref="C34"/>
    </sheetView>
  </sheetViews>
  <sheetFormatPr defaultRowHeight="15.75" x14ac:dyDescent="0.25"/>
  <cols>
    <col min="1" max="1" width="4.7109375" style="1" customWidth="1"/>
    <col min="2" max="2" width="26.140625" style="1" customWidth="1"/>
    <col min="3" max="3" width="33" style="1" customWidth="1"/>
    <col min="4" max="4" width="26.42578125" style="1" customWidth="1"/>
    <col min="5" max="5" width="11.85546875" style="1" customWidth="1"/>
    <col min="6" max="16384" width="9.140625" style="1"/>
  </cols>
  <sheetData>
    <row r="1" spans="1:5" x14ac:dyDescent="0.25">
      <c r="B1" s="188" t="s">
        <v>327</v>
      </c>
      <c r="C1" s="188"/>
      <c r="D1" s="188"/>
    </row>
    <row r="3" spans="1:5" x14ac:dyDescent="0.25">
      <c r="A3" s="92" t="s">
        <v>230</v>
      </c>
      <c r="B3" s="93"/>
      <c r="C3" s="94"/>
      <c r="D3" s="92" t="s">
        <v>231</v>
      </c>
      <c r="E3"/>
    </row>
    <row r="4" spans="1:5" x14ac:dyDescent="0.25">
      <c r="A4" s="95" t="s">
        <v>232</v>
      </c>
      <c r="B4" s="96"/>
      <c r="C4" s="94"/>
      <c r="D4" s="95" t="s">
        <v>233</v>
      </c>
      <c r="E4"/>
    </row>
    <row r="5" spans="1:5" x14ac:dyDescent="0.25">
      <c r="A5" s="97" t="s">
        <v>4</v>
      </c>
      <c r="B5" s="98"/>
      <c r="C5" s="20"/>
      <c r="D5" s="97" t="s">
        <v>183</v>
      </c>
      <c r="E5" s="99"/>
    </row>
    <row r="6" spans="1:5" x14ac:dyDescent="0.25">
      <c r="A6" s="97" t="s">
        <v>235</v>
      </c>
      <c r="B6" s="98"/>
      <c r="C6" s="100"/>
      <c r="D6" s="97" t="s">
        <v>5</v>
      </c>
      <c r="E6" s="101"/>
    </row>
    <row r="7" spans="1:5" x14ac:dyDescent="0.25">
      <c r="A7"/>
      <c r="B7" s="102"/>
      <c r="C7"/>
      <c r="D7" s="97"/>
      <c r="E7" s="99"/>
    </row>
    <row r="8" spans="1:5" x14ac:dyDescent="0.25">
      <c r="A8" s="97" t="s">
        <v>236</v>
      </c>
      <c r="B8" s="98"/>
      <c r="D8" s="97" t="s">
        <v>237</v>
      </c>
      <c r="E8" s="99"/>
    </row>
    <row r="9" spans="1:5" x14ac:dyDescent="0.25">
      <c r="A9" s="97" t="s">
        <v>326</v>
      </c>
      <c r="B9" s="98"/>
      <c r="D9" s="97" t="s">
        <v>325</v>
      </c>
      <c r="E9" s="98"/>
    </row>
    <row r="10" spans="1:5" x14ac:dyDescent="0.25">
      <c r="A10" s="4"/>
      <c r="D10" s="5"/>
      <c r="E10" s="6"/>
    </row>
    <row r="11" spans="1:5" ht="18" customHeight="1" x14ac:dyDescent="0.25">
      <c r="A11" s="189" t="s">
        <v>10</v>
      </c>
      <c r="B11" s="189"/>
      <c r="C11" s="189"/>
      <c r="D11" s="189"/>
      <c r="E11" s="189"/>
    </row>
    <row r="12" spans="1:5" x14ac:dyDescent="0.25">
      <c r="C12" s="165" t="s">
        <v>159</v>
      </c>
    </row>
    <row r="13" spans="1:5" x14ac:dyDescent="0.25">
      <c r="C13" s="7"/>
    </row>
    <row r="14" spans="1:5" ht="40.5" customHeight="1" x14ac:dyDescent="0.25">
      <c r="A14" s="190" t="s">
        <v>421</v>
      </c>
      <c r="B14" s="190"/>
      <c r="C14" s="190"/>
      <c r="D14" s="190"/>
      <c r="E14" s="190"/>
    </row>
    <row r="15" spans="1:5" x14ac:dyDescent="0.25">
      <c r="A15" s="8"/>
      <c r="B15" s="8"/>
      <c r="C15" s="8"/>
      <c r="D15" s="8"/>
      <c r="E15" s="8"/>
    </row>
    <row r="16" spans="1:5" ht="95.25" customHeight="1" x14ac:dyDescent="0.25">
      <c r="A16" s="9" t="s">
        <v>12</v>
      </c>
      <c r="B16" s="9" t="s">
        <v>13</v>
      </c>
      <c r="C16" s="9" t="s">
        <v>14</v>
      </c>
      <c r="D16" s="9" t="s">
        <v>15</v>
      </c>
      <c r="E16" s="9" t="s">
        <v>16</v>
      </c>
    </row>
    <row r="17" spans="1:5" ht="123.75" customHeight="1" x14ac:dyDescent="0.25">
      <c r="A17" s="10">
        <v>1</v>
      </c>
      <c r="B17" s="11" t="s">
        <v>418</v>
      </c>
      <c r="C17" s="11" t="s">
        <v>419</v>
      </c>
      <c r="D17" s="12" t="s">
        <v>420</v>
      </c>
      <c r="E17" s="13">
        <f>948.06*2.4*1.2*0.805*4.21</f>
        <v>9253.5054998399992</v>
      </c>
    </row>
    <row r="18" spans="1:5" ht="65.25" customHeight="1" x14ac:dyDescent="0.25">
      <c r="A18" s="10">
        <v>2</v>
      </c>
      <c r="B18" s="166" t="s">
        <v>17</v>
      </c>
      <c r="C18" s="12" t="s">
        <v>18</v>
      </c>
      <c r="D18" s="12" t="s">
        <v>412</v>
      </c>
      <c r="E18" s="13">
        <f>800*1*0.5*4.21</f>
        <v>1684</v>
      </c>
    </row>
    <row r="19" spans="1:5" ht="48" customHeight="1" x14ac:dyDescent="0.25">
      <c r="A19" s="10">
        <v>3</v>
      </c>
      <c r="B19" s="12" t="s">
        <v>20</v>
      </c>
      <c r="C19" s="15" t="s">
        <v>21</v>
      </c>
      <c r="D19" s="16">
        <f>(E17+E18)*0.1</f>
        <v>1093.7505499839999</v>
      </c>
      <c r="E19" s="17">
        <f>D19</f>
        <v>1093.7505499839999</v>
      </c>
    </row>
    <row r="20" spans="1:5" ht="48" customHeight="1" x14ac:dyDescent="0.25">
      <c r="A20" s="10">
        <v>4</v>
      </c>
      <c r="B20" s="119" t="s">
        <v>80</v>
      </c>
      <c r="C20" s="12" t="s">
        <v>89</v>
      </c>
      <c r="D20" s="16"/>
      <c r="E20" s="17">
        <v>5000</v>
      </c>
    </row>
    <row r="21" spans="1:5" ht="48" customHeight="1" x14ac:dyDescent="0.25">
      <c r="A21" s="10">
        <v>5</v>
      </c>
      <c r="B21" s="119" t="s">
        <v>23</v>
      </c>
      <c r="C21" s="118"/>
      <c r="D21" s="16"/>
      <c r="E21" s="17">
        <v>30122</v>
      </c>
    </row>
    <row r="22" spans="1:5" x14ac:dyDescent="0.25">
      <c r="A22" s="28">
        <v>6</v>
      </c>
      <c r="B22" s="19" t="s">
        <v>24</v>
      </c>
      <c r="C22" s="15"/>
      <c r="D22" s="15" t="s">
        <v>287</v>
      </c>
      <c r="E22" s="17">
        <f>E19+E18+E17+E20+E21</f>
        <v>47153.256049823998</v>
      </c>
    </row>
    <row r="23" spans="1:5" x14ac:dyDescent="0.25">
      <c r="A23" s="28">
        <v>7</v>
      </c>
      <c r="B23" s="19" t="s">
        <v>249</v>
      </c>
      <c r="C23" s="15"/>
      <c r="D23" s="15" t="s">
        <v>288</v>
      </c>
      <c r="E23" s="17">
        <f>ROUND(E22*20%,2)</f>
        <v>9430.65</v>
      </c>
    </row>
    <row r="24" spans="1:5" x14ac:dyDescent="0.25">
      <c r="A24" s="28">
        <v>8</v>
      </c>
      <c r="B24" s="19" t="s">
        <v>26</v>
      </c>
      <c r="C24" s="15"/>
      <c r="D24" s="15" t="s">
        <v>289</v>
      </c>
      <c r="E24" s="17">
        <f>E22+E23</f>
        <v>56583.906049824</v>
      </c>
    </row>
    <row r="25" spans="1:5" x14ac:dyDescent="0.25">
      <c r="A25" s="20"/>
      <c r="B25" s="21"/>
      <c r="C25" s="22"/>
      <c r="D25" s="22"/>
      <c r="E25" s="23"/>
    </row>
    <row r="26" spans="1:5" x14ac:dyDescent="0.25">
      <c r="A26" s="1" t="s">
        <v>2</v>
      </c>
    </row>
    <row r="27" spans="1:5" x14ac:dyDescent="0.25">
      <c r="A27" s="1" t="s">
        <v>27</v>
      </c>
    </row>
    <row r="28" spans="1:5" x14ac:dyDescent="0.25">
      <c r="A28" s="1" t="s">
        <v>31</v>
      </c>
    </row>
    <row r="29" spans="1:5" x14ac:dyDescent="0.25">
      <c r="A29" s="4" t="s">
        <v>28</v>
      </c>
    </row>
    <row r="30" spans="1:5" x14ac:dyDescent="0.25">
      <c r="A30" s="1" t="s">
        <v>352</v>
      </c>
    </row>
    <row r="34" spans="5:5" x14ac:dyDescent="0.25">
      <c r="E34" s="1" t="s">
        <v>30</v>
      </c>
    </row>
  </sheetData>
  <mergeCells count="3">
    <mergeCell ref="B1:D1"/>
    <mergeCell ref="A11:E11"/>
    <mergeCell ref="A14:E14"/>
  </mergeCells>
  <pageMargins left="0.19685039370078741" right="0.19685039370078741" top="0.19685039370078741" bottom="0.19685039370078741" header="0.51181102362204722" footer="0.51181102362204722"/>
  <pageSetup paperSize="9" orientation="portrait" r:id="rId1"/>
  <headerFooter alignWithMargins="0"/>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4"/>
  <sheetViews>
    <sheetView zoomScaleNormal="100" workbookViewId="0">
      <selection activeCell="C37" sqref="C37"/>
    </sheetView>
  </sheetViews>
  <sheetFormatPr defaultRowHeight="15.75" x14ac:dyDescent="0.25"/>
  <cols>
    <col min="1" max="1" width="4.7109375" style="1" customWidth="1"/>
    <col min="2" max="2" width="26.140625" style="1" customWidth="1"/>
    <col min="3" max="3" width="33" style="1" customWidth="1"/>
    <col min="4" max="4" width="26.42578125" style="1" customWidth="1"/>
    <col min="5" max="5" width="11.85546875" style="1" customWidth="1"/>
    <col min="6" max="16384" width="9.140625" style="1"/>
  </cols>
  <sheetData>
    <row r="1" spans="1:5" x14ac:dyDescent="0.25">
      <c r="B1" s="188" t="s">
        <v>327</v>
      </c>
      <c r="C1" s="188"/>
      <c r="D1" s="188"/>
    </row>
    <row r="3" spans="1:5" x14ac:dyDescent="0.25">
      <c r="A3" s="92" t="s">
        <v>230</v>
      </c>
      <c r="B3" s="93"/>
      <c r="C3" s="94"/>
      <c r="D3" s="92" t="s">
        <v>231</v>
      </c>
      <c r="E3"/>
    </row>
    <row r="4" spans="1:5" x14ac:dyDescent="0.25">
      <c r="A4" s="95" t="s">
        <v>232</v>
      </c>
      <c r="B4" s="96"/>
      <c r="C4" s="94"/>
      <c r="D4" s="95" t="s">
        <v>233</v>
      </c>
      <c r="E4"/>
    </row>
    <row r="5" spans="1:5" x14ac:dyDescent="0.25">
      <c r="A5" s="97" t="s">
        <v>4</v>
      </c>
      <c r="B5" s="98"/>
      <c r="C5" s="20"/>
      <c r="D5" s="97" t="s">
        <v>183</v>
      </c>
      <c r="E5" s="99"/>
    </row>
    <row r="6" spans="1:5" x14ac:dyDescent="0.25">
      <c r="A6" s="97" t="s">
        <v>235</v>
      </c>
      <c r="B6" s="98"/>
      <c r="C6" s="100"/>
      <c r="D6" s="97" t="s">
        <v>5</v>
      </c>
      <c r="E6" s="101"/>
    </row>
    <row r="7" spans="1:5" x14ac:dyDescent="0.25">
      <c r="A7"/>
      <c r="B7" s="102"/>
      <c r="C7"/>
      <c r="D7" s="97"/>
      <c r="E7" s="99"/>
    </row>
    <row r="8" spans="1:5" x14ac:dyDescent="0.25">
      <c r="A8" s="97" t="s">
        <v>236</v>
      </c>
      <c r="B8" s="98"/>
      <c r="D8" s="97" t="s">
        <v>237</v>
      </c>
      <c r="E8" s="99"/>
    </row>
    <row r="9" spans="1:5" x14ac:dyDescent="0.25">
      <c r="A9" s="97" t="s">
        <v>326</v>
      </c>
      <c r="B9" s="98"/>
      <c r="D9" s="97" t="s">
        <v>325</v>
      </c>
      <c r="E9" s="98"/>
    </row>
    <row r="10" spans="1:5" x14ac:dyDescent="0.25">
      <c r="A10" s="4"/>
      <c r="D10" s="5"/>
      <c r="E10" s="6"/>
    </row>
    <row r="11" spans="1:5" ht="18" customHeight="1" x14ac:dyDescent="0.25">
      <c r="A11" s="189" t="s">
        <v>10</v>
      </c>
      <c r="B11" s="189"/>
      <c r="C11" s="189"/>
      <c r="D11" s="189"/>
      <c r="E11" s="189"/>
    </row>
    <row r="12" spans="1:5" x14ac:dyDescent="0.25">
      <c r="C12" s="167" t="s">
        <v>159</v>
      </c>
    </row>
    <row r="13" spans="1:5" x14ac:dyDescent="0.25">
      <c r="C13" s="7"/>
    </row>
    <row r="14" spans="1:5" ht="40.5" customHeight="1" x14ac:dyDescent="0.25">
      <c r="A14" s="190" t="s">
        <v>425</v>
      </c>
      <c r="B14" s="190"/>
      <c r="C14" s="190"/>
      <c r="D14" s="190"/>
      <c r="E14" s="190"/>
    </row>
    <row r="15" spans="1:5" x14ac:dyDescent="0.25">
      <c r="A15" s="8"/>
      <c r="B15" s="8"/>
      <c r="C15" s="8"/>
      <c r="D15" s="8"/>
      <c r="E15" s="8"/>
    </row>
    <row r="16" spans="1:5" ht="95.25" customHeight="1" x14ac:dyDescent="0.25">
      <c r="A16" s="9" t="s">
        <v>12</v>
      </c>
      <c r="B16" s="9" t="s">
        <v>13</v>
      </c>
      <c r="C16" s="9" t="s">
        <v>14</v>
      </c>
      <c r="D16" s="9" t="s">
        <v>15</v>
      </c>
      <c r="E16" s="9" t="s">
        <v>16</v>
      </c>
    </row>
    <row r="17" spans="1:5" ht="123.75" customHeight="1" x14ac:dyDescent="0.25">
      <c r="A17" s="10">
        <v>1</v>
      </c>
      <c r="B17" s="11" t="s">
        <v>422</v>
      </c>
      <c r="C17" s="11" t="s">
        <v>423</v>
      </c>
      <c r="D17" s="12" t="s">
        <v>424</v>
      </c>
      <c r="E17" s="13">
        <f>1918.99*2.4*1.2*0.805*4.21</f>
        <v>18730.232811360002</v>
      </c>
    </row>
    <row r="18" spans="1:5" ht="65.25" customHeight="1" x14ac:dyDescent="0.25">
      <c r="A18" s="10">
        <v>2</v>
      </c>
      <c r="B18" s="168" t="s">
        <v>17</v>
      </c>
      <c r="C18" s="12" t="s">
        <v>18</v>
      </c>
      <c r="D18" s="12" t="s">
        <v>412</v>
      </c>
      <c r="E18" s="13">
        <f>800*1*0.5*4.21</f>
        <v>1684</v>
      </c>
    </row>
    <row r="19" spans="1:5" ht="48" customHeight="1" x14ac:dyDescent="0.25">
      <c r="A19" s="10">
        <v>3</v>
      </c>
      <c r="B19" s="12" t="s">
        <v>20</v>
      </c>
      <c r="C19" s="15" t="s">
        <v>21</v>
      </c>
      <c r="D19" s="16">
        <f>(E17+E18)*0.1</f>
        <v>2041.4232811360002</v>
      </c>
      <c r="E19" s="17">
        <f>D19</f>
        <v>2041.4232811360002</v>
      </c>
    </row>
    <row r="20" spans="1:5" ht="48" customHeight="1" x14ac:dyDescent="0.25">
      <c r="A20" s="10">
        <v>4</v>
      </c>
      <c r="B20" s="119" t="s">
        <v>80</v>
      </c>
      <c r="C20" s="12" t="s">
        <v>89</v>
      </c>
      <c r="D20" s="16"/>
      <c r="E20" s="17">
        <v>6666.67</v>
      </c>
    </row>
    <row r="21" spans="1:5" ht="48" customHeight="1" x14ac:dyDescent="0.25">
      <c r="A21" s="10">
        <v>5</v>
      </c>
      <c r="B21" s="119" t="s">
        <v>23</v>
      </c>
      <c r="C21" s="118"/>
      <c r="D21" s="16"/>
      <c r="E21" s="17">
        <v>28786.63</v>
      </c>
    </row>
    <row r="22" spans="1:5" x14ac:dyDescent="0.25">
      <c r="A22" s="28">
        <v>6</v>
      </c>
      <c r="B22" s="19" t="s">
        <v>24</v>
      </c>
      <c r="C22" s="15"/>
      <c r="D22" s="15" t="s">
        <v>287</v>
      </c>
      <c r="E22" s="17">
        <f>E19+E18+E17+E20+E21</f>
        <v>57908.95609249601</v>
      </c>
    </row>
    <row r="23" spans="1:5" x14ac:dyDescent="0.25">
      <c r="A23" s="28">
        <v>7</v>
      </c>
      <c r="B23" s="19" t="s">
        <v>249</v>
      </c>
      <c r="C23" s="15"/>
      <c r="D23" s="15" t="s">
        <v>288</v>
      </c>
      <c r="E23" s="17">
        <f>ROUND(E22*20%,2)</f>
        <v>11581.79</v>
      </c>
    </row>
    <row r="24" spans="1:5" x14ac:dyDescent="0.25">
      <c r="A24" s="28">
        <v>8</v>
      </c>
      <c r="B24" s="19" t="s">
        <v>26</v>
      </c>
      <c r="C24" s="15"/>
      <c r="D24" s="15" t="s">
        <v>289</v>
      </c>
      <c r="E24" s="17">
        <f>E22+E23</f>
        <v>69490.746092496003</v>
      </c>
    </row>
    <row r="25" spans="1:5" x14ac:dyDescent="0.25">
      <c r="A25" s="20"/>
      <c r="B25" s="21"/>
      <c r="C25" s="22"/>
      <c r="D25" s="22"/>
      <c r="E25" s="23"/>
    </row>
    <row r="26" spans="1:5" x14ac:dyDescent="0.25">
      <c r="A26" s="1" t="s">
        <v>2</v>
      </c>
    </row>
    <row r="27" spans="1:5" x14ac:dyDescent="0.25">
      <c r="A27" s="1" t="s">
        <v>27</v>
      </c>
    </row>
    <row r="28" spans="1:5" x14ac:dyDescent="0.25">
      <c r="A28" s="1" t="s">
        <v>31</v>
      </c>
    </row>
    <row r="29" spans="1:5" x14ac:dyDescent="0.25">
      <c r="A29" s="4" t="s">
        <v>28</v>
      </c>
    </row>
    <row r="30" spans="1:5" x14ac:dyDescent="0.25">
      <c r="A30" s="1" t="s">
        <v>352</v>
      </c>
    </row>
    <row r="34" spans="5:5" x14ac:dyDescent="0.25">
      <c r="E34" s="1" t="s">
        <v>30</v>
      </c>
    </row>
  </sheetData>
  <mergeCells count="3">
    <mergeCell ref="B1:D1"/>
    <mergeCell ref="A11:E11"/>
    <mergeCell ref="A14:E14"/>
  </mergeCells>
  <pageMargins left="0.19685039370078741" right="0.19685039370078741" top="0.19685039370078741" bottom="0.19685039370078741" header="0.51181102362204722" footer="0.51181102362204722"/>
  <pageSetup paperSize="9" orientation="portrait" r:id="rId1"/>
  <headerFooter alignWithMargins="0"/>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2"/>
  <sheetViews>
    <sheetView zoomScaleNormal="100" workbookViewId="0">
      <selection activeCell="A14" sqref="A14:E14"/>
    </sheetView>
  </sheetViews>
  <sheetFormatPr defaultRowHeight="15.75" x14ac:dyDescent="0.25"/>
  <cols>
    <col min="1" max="1" width="4.7109375" style="1" customWidth="1"/>
    <col min="2" max="2" width="26.140625" style="1" customWidth="1"/>
    <col min="3" max="3" width="33" style="1" customWidth="1"/>
    <col min="4" max="4" width="26.42578125" style="1" customWidth="1"/>
    <col min="5" max="5" width="11.85546875" style="1" customWidth="1"/>
    <col min="6" max="16384" width="9.140625" style="1"/>
  </cols>
  <sheetData>
    <row r="1" spans="1:5" x14ac:dyDescent="0.25">
      <c r="B1" s="188" t="s">
        <v>327</v>
      </c>
      <c r="C1" s="188"/>
      <c r="D1" s="188"/>
    </row>
    <row r="3" spans="1:5" x14ac:dyDescent="0.25">
      <c r="A3" s="92" t="s">
        <v>230</v>
      </c>
      <c r="B3" s="93"/>
      <c r="C3" s="94"/>
      <c r="D3" s="92" t="s">
        <v>231</v>
      </c>
      <c r="E3"/>
    </row>
    <row r="4" spans="1:5" x14ac:dyDescent="0.25">
      <c r="A4" s="95" t="s">
        <v>232</v>
      </c>
      <c r="B4" s="96"/>
      <c r="C4" s="94"/>
      <c r="D4" s="95" t="s">
        <v>233</v>
      </c>
      <c r="E4"/>
    </row>
    <row r="5" spans="1:5" x14ac:dyDescent="0.25">
      <c r="A5" s="97" t="s">
        <v>4</v>
      </c>
      <c r="B5" s="98"/>
      <c r="C5" s="20"/>
      <c r="D5" s="97" t="s">
        <v>183</v>
      </c>
      <c r="E5" s="99"/>
    </row>
    <row r="6" spans="1:5" x14ac:dyDescent="0.25">
      <c r="A6" s="97" t="s">
        <v>235</v>
      </c>
      <c r="B6" s="98"/>
      <c r="C6" s="100"/>
      <c r="D6" s="97" t="s">
        <v>5</v>
      </c>
      <c r="E6" s="101"/>
    </row>
    <row r="7" spans="1:5" x14ac:dyDescent="0.25">
      <c r="A7"/>
      <c r="B7" s="102"/>
      <c r="C7"/>
      <c r="D7" s="97"/>
      <c r="E7" s="99"/>
    </row>
    <row r="8" spans="1:5" x14ac:dyDescent="0.25">
      <c r="A8" s="97" t="s">
        <v>236</v>
      </c>
      <c r="B8" s="98"/>
      <c r="D8" s="97" t="s">
        <v>237</v>
      </c>
      <c r="E8" s="99"/>
    </row>
    <row r="9" spans="1:5" x14ac:dyDescent="0.25">
      <c r="A9" s="97" t="s">
        <v>326</v>
      </c>
      <c r="B9" s="98"/>
      <c r="D9" s="97" t="s">
        <v>325</v>
      </c>
      <c r="E9" s="98"/>
    </row>
    <row r="10" spans="1:5" x14ac:dyDescent="0.25">
      <c r="A10" s="4"/>
      <c r="D10" s="5"/>
      <c r="E10" s="6"/>
    </row>
    <row r="11" spans="1:5" ht="18" customHeight="1" x14ac:dyDescent="0.25">
      <c r="A11" s="189" t="s">
        <v>10</v>
      </c>
      <c r="B11" s="189"/>
      <c r="C11" s="189"/>
      <c r="D11" s="189"/>
      <c r="E11" s="189"/>
    </row>
    <row r="12" spans="1:5" x14ac:dyDescent="0.25">
      <c r="C12" s="169" t="s">
        <v>159</v>
      </c>
    </row>
    <row r="13" spans="1:5" x14ac:dyDescent="0.25">
      <c r="C13" s="7"/>
    </row>
    <row r="14" spans="1:5" ht="40.5" customHeight="1" x14ac:dyDescent="0.25">
      <c r="A14" s="190" t="s">
        <v>426</v>
      </c>
      <c r="B14" s="190"/>
      <c r="C14" s="190"/>
      <c r="D14" s="190"/>
      <c r="E14" s="190"/>
    </row>
    <row r="15" spans="1:5" x14ac:dyDescent="0.25">
      <c r="A15" s="8"/>
      <c r="B15" s="8"/>
      <c r="C15" s="8"/>
      <c r="D15" s="8"/>
      <c r="E15" s="8"/>
    </row>
    <row r="16" spans="1:5" ht="95.25" customHeight="1" x14ac:dyDescent="0.25">
      <c r="A16" s="9" t="s">
        <v>12</v>
      </c>
      <c r="B16" s="9" t="s">
        <v>13</v>
      </c>
      <c r="C16" s="9" t="s">
        <v>14</v>
      </c>
      <c r="D16" s="9" t="s">
        <v>15</v>
      </c>
      <c r="E16" s="9" t="s">
        <v>16</v>
      </c>
    </row>
    <row r="17" spans="1:5" ht="123.75" customHeight="1" x14ac:dyDescent="0.25">
      <c r="A17" s="10">
        <v>1</v>
      </c>
      <c r="B17" s="11" t="s">
        <v>427</v>
      </c>
      <c r="C17" s="11" t="s">
        <v>428</v>
      </c>
      <c r="D17" s="12" t="s">
        <v>429</v>
      </c>
      <c r="E17" s="13">
        <f>766.63 *2.4*1.2*0.805*4.21</f>
        <v>7482.664516320001</v>
      </c>
    </row>
    <row r="18" spans="1:5" ht="65.25" customHeight="1" x14ac:dyDescent="0.25">
      <c r="A18" s="10">
        <v>2</v>
      </c>
      <c r="B18" s="170" t="s">
        <v>17</v>
      </c>
      <c r="C18" s="12" t="s">
        <v>18</v>
      </c>
      <c r="D18" s="12" t="s">
        <v>412</v>
      </c>
      <c r="E18" s="13">
        <f>800*1*0.5*4.21</f>
        <v>1684</v>
      </c>
    </row>
    <row r="19" spans="1:5" ht="48" customHeight="1" x14ac:dyDescent="0.25">
      <c r="A19" s="10">
        <v>3</v>
      </c>
      <c r="B19" s="12" t="s">
        <v>20</v>
      </c>
      <c r="C19" s="15" t="s">
        <v>21</v>
      </c>
      <c r="D19" s="16">
        <f>(E17+E18)*0.1</f>
        <v>916.66645163200019</v>
      </c>
      <c r="E19" s="17">
        <f>D19</f>
        <v>916.66645163200019</v>
      </c>
    </row>
    <row r="20" spans="1:5" x14ac:dyDescent="0.25">
      <c r="A20" s="28">
        <v>4</v>
      </c>
      <c r="B20" s="19" t="s">
        <v>24</v>
      </c>
      <c r="C20" s="15"/>
      <c r="D20" s="15" t="s">
        <v>257</v>
      </c>
      <c r="E20" s="17">
        <f>E19+E18+E17</f>
        <v>10083.330967952001</v>
      </c>
    </row>
    <row r="21" spans="1:5" x14ac:dyDescent="0.25">
      <c r="A21" s="28">
        <v>5</v>
      </c>
      <c r="B21" s="19" t="s">
        <v>249</v>
      </c>
      <c r="C21" s="15"/>
      <c r="D21" s="15" t="s">
        <v>258</v>
      </c>
      <c r="E21" s="17">
        <f>ROUND(E20*20%,2)</f>
        <v>2016.67</v>
      </c>
    </row>
    <row r="22" spans="1:5" x14ac:dyDescent="0.25">
      <c r="A22" s="28">
        <v>6</v>
      </c>
      <c r="B22" s="19" t="s">
        <v>26</v>
      </c>
      <c r="C22" s="15"/>
      <c r="D22" s="15" t="s">
        <v>259</v>
      </c>
      <c r="E22" s="17">
        <f>E20+E21</f>
        <v>12100.000967952001</v>
      </c>
    </row>
    <row r="23" spans="1:5" x14ac:dyDescent="0.25">
      <c r="A23" s="20"/>
      <c r="B23" s="21"/>
      <c r="C23" s="22"/>
      <c r="D23" s="22"/>
      <c r="E23" s="23"/>
    </row>
    <row r="24" spans="1:5" x14ac:dyDescent="0.25">
      <c r="A24" s="1" t="s">
        <v>2</v>
      </c>
    </row>
    <row r="25" spans="1:5" x14ac:dyDescent="0.25">
      <c r="A25" s="1" t="s">
        <v>27</v>
      </c>
    </row>
    <row r="26" spans="1:5" x14ac:dyDescent="0.25">
      <c r="A26" s="1" t="s">
        <v>31</v>
      </c>
    </row>
    <row r="27" spans="1:5" x14ac:dyDescent="0.25">
      <c r="A27" s="4" t="s">
        <v>28</v>
      </c>
    </row>
    <row r="28" spans="1:5" x14ac:dyDescent="0.25">
      <c r="A28" s="1" t="s">
        <v>352</v>
      </c>
    </row>
    <row r="32" spans="1:5" x14ac:dyDescent="0.25">
      <c r="E32" s="1" t="s">
        <v>30</v>
      </c>
    </row>
  </sheetData>
  <mergeCells count="3">
    <mergeCell ref="B1:D1"/>
    <mergeCell ref="A11:E11"/>
    <mergeCell ref="A14:E14"/>
  </mergeCells>
  <pageMargins left="0.19685039370078741" right="0.19685039370078741" top="0.19685039370078741" bottom="0.19685039370078741" header="0.51181102362204722" footer="0.51181102362204722"/>
  <pageSetup paperSize="9" orientation="portrait" r:id="rId1"/>
  <headerFooter alignWithMargins="0"/>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4"/>
  <sheetViews>
    <sheetView zoomScaleNormal="100" workbookViewId="0">
      <selection activeCell="K14" sqref="K14"/>
    </sheetView>
  </sheetViews>
  <sheetFormatPr defaultRowHeight="15.75" x14ac:dyDescent="0.25"/>
  <cols>
    <col min="1" max="1" width="4.7109375" style="1" customWidth="1"/>
    <col min="2" max="2" width="26.140625" style="1" customWidth="1"/>
    <col min="3" max="3" width="33" style="1" customWidth="1"/>
    <col min="4" max="4" width="26.42578125" style="1" customWidth="1"/>
    <col min="5" max="5" width="11.85546875" style="1" customWidth="1"/>
    <col min="6" max="16384" width="9.140625" style="1"/>
  </cols>
  <sheetData>
    <row r="1" spans="1:5" x14ac:dyDescent="0.25">
      <c r="B1" s="188" t="s">
        <v>327</v>
      </c>
      <c r="C1" s="188"/>
      <c r="D1" s="188"/>
    </row>
    <row r="3" spans="1:5" x14ac:dyDescent="0.25">
      <c r="A3" s="92" t="s">
        <v>230</v>
      </c>
      <c r="B3" s="93"/>
      <c r="C3" s="94"/>
      <c r="D3" s="92" t="s">
        <v>231</v>
      </c>
      <c r="E3"/>
    </row>
    <row r="4" spans="1:5" x14ac:dyDescent="0.25">
      <c r="A4" s="95" t="s">
        <v>232</v>
      </c>
      <c r="B4" s="96"/>
      <c r="C4" s="94"/>
      <c r="D4" s="95" t="s">
        <v>233</v>
      </c>
      <c r="E4"/>
    </row>
    <row r="5" spans="1:5" x14ac:dyDescent="0.25">
      <c r="A5" s="97" t="s">
        <v>4</v>
      </c>
      <c r="B5" s="98"/>
      <c r="C5" s="20"/>
      <c r="D5" s="97" t="s">
        <v>183</v>
      </c>
      <c r="E5" s="99"/>
    </row>
    <row r="6" spans="1:5" x14ac:dyDescent="0.25">
      <c r="A6" s="97" t="s">
        <v>235</v>
      </c>
      <c r="B6" s="98"/>
      <c r="C6" s="100"/>
      <c r="D6" s="97" t="s">
        <v>5</v>
      </c>
      <c r="E6" s="101"/>
    </row>
    <row r="7" spans="1:5" x14ac:dyDescent="0.25">
      <c r="A7"/>
      <c r="B7" s="102"/>
      <c r="C7"/>
      <c r="D7" s="97"/>
      <c r="E7" s="99"/>
    </row>
    <row r="8" spans="1:5" x14ac:dyDescent="0.25">
      <c r="A8" s="97" t="s">
        <v>236</v>
      </c>
      <c r="B8" s="98"/>
      <c r="D8" s="97" t="s">
        <v>237</v>
      </c>
      <c r="E8" s="99"/>
    </row>
    <row r="9" spans="1:5" x14ac:dyDescent="0.25">
      <c r="A9" s="97" t="s">
        <v>326</v>
      </c>
      <c r="B9" s="98"/>
      <c r="D9" s="97" t="s">
        <v>325</v>
      </c>
      <c r="E9" s="98"/>
    </row>
    <row r="10" spans="1:5" x14ac:dyDescent="0.25">
      <c r="A10" s="4"/>
      <c r="D10" s="5"/>
      <c r="E10" s="6"/>
    </row>
    <row r="11" spans="1:5" ht="18" customHeight="1" x14ac:dyDescent="0.25">
      <c r="A11" s="189" t="s">
        <v>10</v>
      </c>
      <c r="B11" s="189"/>
      <c r="C11" s="189"/>
      <c r="D11" s="189"/>
      <c r="E11" s="189"/>
    </row>
    <row r="12" spans="1:5" x14ac:dyDescent="0.25">
      <c r="C12" s="171" t="s">
        <v>159</v>
      </c>
    </row>
    <row r="13" spans="1:5" x14ac:dyDescent="0.25">
      <c r="C13" s="7"/>
    </row>
    <row r="14" spans="1:5" ht="40.5" customHeight="1" x14ac:dyDescent="0.25">
      <c r="A14" s="190" t="s">
        <v>433</v>
      </c>
      <c r="B14" s="190"/>
      <c r="C14" s="190"/>
      <c r="D14" s="190"/>
      <c r="E14" s="190"/>
    </row>
    <row r="15" spans="1:5" x14ac:dyDescent="0.25">
      <c r="A15" s="8"/>
      <c r="B15" s="8"/>
      <c r="C15" s="8"/>
      <c r="D15" s="8"/>
      <c r="E15" s="8"/>
    </row>
    <row r="16" spans="1:5" ht="95.25" customHeight="1" x14ac:dyDescent="0.25">
      <c r="A16" s="9" t="s">
        <v>12</v>
      </c>
      <c r="B16" s="9" t="s">
        <v>13</v>
      </c>
      <c r="C16" s="9" t="s">
        <v>14</v>
      </c>
      <c r="D16" s="9" t="s">
        <v>15</v>
      </c>
      <c r="E16" s="9" t="s">
        <v>16</v>
      </c>
    </row>
    <row r="17" spans="1:5" ht="123.75" customHeight="1" x14ac:dyDescent="0.25">
      <c r="A17" s="10">
        <v>1</v>
      </c>
      <c r="B17" s="11" t="s">
        <v>430</v>
      </c>
      <c r="C17" s="11" t="s">
        <v>431</v>
      </c>
      <c r="D17" s="12" t="s">
        <v>432</v>
      </c>
      <c r="E17" s="13">
        <f>1204.22*2.4*1.2*0.805*4.21</f>
        <v>11753.745958080002</v>
      </c>
    </row>
    <row r="18" spans="1:5" ht="65.25" customHeight="1" x14ac:dyDescent="0.25">
      <c r="A18" s="10">
        <v>2</v>
      </c>
      <c r="B18" s="172" t="s">
        <v>17</v>
      </c>
      <c r="C18" s="12" t="s">
        <v>18</v>
      </c>
      <c r="D18" s="12" t="s">
        <v>412</v>
      </c>
      <c r="E18" s="13">
        <f>800*1*0.5*4.21</f>
        <v>1684</v>
      </c>
    </row>
    <row r="19" spans="1:5" ht="48" customHeight="1" x14ac:dyDescent="0.25">
      <c r="A19" s="10">
        <v>3</v>
      </c>
      <c r="B19" s="12" t="s">
        <v>20</v>
      </c>
      <c r="C19" s="15" t="s">
        <v>21</v>
      </c>
      <c r="D19" s="16">
        <f>(E17+E18)*0.1</f>
        <v>1343.7745958080004</v>
      </c>
      <c r="E19" s="17">
        <f>D19</f>
        <v>1343.7745958080004</v>
      </c>
    </row>
    <row r="20" spans="1:5" ht="48" customHeight="1" x14ac:dyDescent="0.25">
      <c r="A20" s="10">
        <v>4</v>
      </c>
      <c r="B20" s="119" t="s">
        <v>80</v>
      </c>
      <c r="C20" s="12" t="s">
        <v>89</v>
      </c>
      <c r="D20" s="16"/>
      <c r="E20" s="17">
        <v>8333.34</v>
      </c>
    </row>
    <row r="21" spans="1:5" ht="48" customHeight="1" x14ac:dyDescent="0.25">
      <c r="A21" s="10">
        <v>5</v>
      </c>
      <c r="B21" s="119" t="s">
        <v>23</v>
      </c>
      <c r="C21" s="118"/>
      <c r="D21" s="16"/>
      <c r="E21" s="17">
        <v>23738.76</v>
      </c>
    </row>
    <row r="22" spans="1:5" x14ac:dyDescent="0.25">
      <c r="A22" s="28">
        <v>6</v>
      </c>
      <c r="B22" s="19" t="s">
        <v>24</v>
      </c>
      <c r="C22" s="15"/>
      <c r="D22" s="15" t="s">
        <v>287</v>
      </c>
      <c r="E22" s="17">
        <f>E19+E18+E17+E20+E21</f>
        <v>46853.620553888002</v>
      </c>
    </row>
    <row r="23" spans="1:5" x14ac:dyDescent="0.25">
      <c r="A23" s="28">
        <v>7</v>
      </c>
      <c r="B23" s="19" t="s">
        <v>249</v>
      </c>
      <c r="C23" s="15"/>
      <c r="D23" s="15" t="s">
        <v>288</v>
      </c>
      <c r="E23" s="17">
        <f>ROUND(E22*20%,2)</f>
        <v>9370.7199999999993</v>
      </c>
    </row>
    <row r="24" spans="1:5" x14ac:dyDescent="0.25">
      <c r="A24" s="28">
        <v>8</v>
      </c>
      <c r="B24" s="19" t="s">
        <v>26</v>
      </c>
      <c r="C24" s="15"/>
      <c r="D24" s="15" t="s">
        <v>289</v>
      </c>
      <c r="E24" s="17">
        <f>E22+E23</f>
        <v>56224.340553888003</v>
      </c>
    </row>
    <row r="25" spans="1:5" x14ac:dyDescent="0.25">
      <c r="A25" s="20"/>
      <c r="B25" s="21"/>
      <c r="C25" s="22"/>
      <c r="D25" s="22"/>
      <c r="E25" s="23"/>
    </row>
    <row r="26" spans="1:5" x14ac:dyDescent="0.25">
      <c r="A26" s="1" t="s">
        <v>2</v>
      </c>
    </row>
    <row r="27" spans="1:5" x14ac:dyDescent="0.25">
      <c r="A27" s="1" t="s">
        <v>27</v>
      </c>
    </row>
    <row r="28" spans="1:5" x14ac:dyDescent="0.25">
      <c r="A28" s="1" t="s">
        <v>31</v>
      </c>
    </row>
    <row r="29" spans="1:5" x14ac:dyDescent="0.25">
      <c r="A29" s="4" t="s">
        <v>28</v>
      </c>
    </row>
    <row r="30" spans="1:5" x14ac:dyDescent="0.25">
      <c r="A30" s="1" t="s">
        <v>352</v>
      </c>
    </row>
    <row r="34" spans="5:5" x14ac:dyDescent="0.25">
      <c r="E34" s="1" t="s">
        <v>30</v>
      </c>
    </row>
  </sheetData>
  <mergeCells count="3">
    <mergeCell ref="B1:D1"/>
    <mergeCell ref="A11:E11"/>
    <mergeCell ref="A14:E14"/>
  </mergeCells>
  <pageMargins left="0.19685039370078741" right="0.19685039370078741" top="0.19685039370078741" bottom="0.19685039370078741" header="0.51181102362204722" footer="0.51181102362204722"/>
  <pageSetup paperSize="9" orientation="portrait" r:id="rId1"/>
  <headerFooter alignWithMargins="0"/>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4"/>
  <sheetViews>
    <sheetView topLeftCell="A16" zoomScaleNormal="100" workbookViewId="0">
      <selection activeCell="D22" sqref="D22"/>
    </sheetView>
  </sheetViews>
  <sheetFormatPr defaultRowHeight="15.75" x14ac:dyDescent="0.25"/>
  <cols>
    <col min="1" max="1" width="4.7109375" style="1" customWidth="1"/>
    <col min="2" max="2" width="26.140625" style="1" customWidth="1"/>
    <col min="3" max="3" width="33" style="1" customWidth="1"/>
    <col min="4" max="4" width="26.42578125" style="1" customWidth="1"/>
    <col min="5" max="5" width="11.85546875" style="1" customWidth="1"/>
    <col min="6" max="16384" width="9.140625" style="1"/>
  </cols>
  <sheetData>
    <row r="1" spans="1:5" x14ac:dyDescent="0.25">
      <c r="B1" s="188" t="s">
        <v>327</v>
      </c>
      <c r="C1" s="188"/>
      <c r="D1" s="188"/>
    </row>
    <row r="3" spans="1:5" x14ac:dyDescent="0.25">
      <c r="A3" s="92" t="s">
        <v>230</v>
      </c>
      <c r="B3" s="93"/>
      <c r="C3" s="94"/>
      <c r="D3" s="92" t="s">
        <v>231</v>
      </c>
      <c r="E3"/>
    </row>
    <row r="4" spans="1:5" x14ac:dyDescent="0.25">
      <c r="A4" s="95" t="s">
        <v>232</v>
      </c>
      <c r="B4" s="96"/>
      <c r="C4" s="94"/>
      <c r="D4" s="95" t="s">
        <v>233</v>
      </c>
      <c r="E4"/>
    </row>
    <row r="5" spans="1:5" x14ac:dyDescent="0.25">
      <c r="A5" s="97" t="s">
        <v>4</v>
      </c>
      <c r="B5" s="98"/>
      <c r="C5" s="20"/>
      <c r="D5" s="97" t="s">
        <v>183</v>
      </c>
      <c r="E5" s="99"/>
    </row>
    <row r="6" spans="1:5" x14ac:dyDescent="0.25">
      <c r="A6" s="97" t="s">
        <v>235</v>
      </c>
      <c r="B6" s="98"/>
      <c r="C6" s="100"/>
      <c r="D6" s="97" t="s">
        <v>5</v>
      </c>
      <c r="E6" s="101"/>
    </row>
    <row r="7" spans="1:5" x14ac:dyDescent="0.25">
      <c r="A7"/>
      <c r="B7" s="102"/>
      <c r="C7"/>
      <c r="D7" s="97"/>
      <c r="E7" s="99"/>
    </row>
    <row r="8" spans="1:5" x14ac:dyDescent="0.25">
      <c r="A8" s="97" t="s">
        <v>236</v>
      </c>
      <c r="B8" s="98"/>
      <c r="D8" s="97" t="s">
        <v>237</v>
      </c>
      <c r="E8" s="99"/>
    </row>
    <row r="9" spans="1:5" x14ac:dyDescent="0.25">
      <c r="A9" s="97" t="s">
        <v>326</v>
      </c>
      <c r="B9" s="98"/>
      <c r="D9" s="97" t="s">
        <v>325</v>
      </c>
      <c r="E9" s="98"/>
    </row>
    <row r="10" spans="1:5" x14ac:dyDescent="0.25">
      <c r="A10" s="4"/>
      <c r="D10" s="5"/>
      <c r="E10" s="6"/>
    </row>
    <row r="11" spans="1:5" ht="18" customHeight="1" x14ac:dyDescent="0.25">
      <c r="A11" s="189" t="s">
        <v>10</v>
      </c>
      <c r="B11" s="189"/>
      <c r="C11" s="189"/>
      <c r="D11" s="189"/>
      <c r="E11" s="189"/>
    </row>
    <row r="12" spans="1:5" x14ac:dyDescent="0.25">
      <c r="C12" s="173" t="s">
        <v>159</v>
      </c>
    </row>
    <row r="13" spans="1:5" x14ac:dyDescent="0.25">
      <c r="C13" s="7"/>
    </row>
    <row r="14" spans="1:5" ht="40.5" customHeight="1" x14ac:dyDescent="0.25">
      <c r="A14" s="190" t="s">
        <v>434</v>
      </c>
      <c r="B14" s="190"/>
      <c r="C14" s="190"/>
      <c r="D14" s="190"/>
      <c r="E14" s="190"/>
    </row>
    <row r="15" spans="1:5" x14ac:dyDescent="0.25">
      <c r="A15" s="8"/>
      <c r="B15" s="8"/>
      <c r="C15" s="8"/>
      <c r="D15" s="8"/>
      <c r="E15" s="8"/>
    </row>
    <row r="16" spans="1:5" ht="95.25" customHeight="1" x14ac:dyDescent="0.25">
      <c r="A16" s="9" t="s">
        <v>12</v>
      </c>
      <c r="B16" s="9" t="s">
        <v>13</v>
      </c>
      <c r="C16" s="9" t="s">
        <v>14</v>
      </c>
      <c r="D16" s="9" t="s">
        <v>15</v>
      </c>
      <c r="E16" s="9" t="s">
        <v>16</v>
      </c>
    </row>
    <row r="17" spans="1:5" ht="123.75" customHeight="1" x14ac:dyDescent="0.25">
      <c r="A17" s="10">
        <v>1</v>
      </c>
      <c r="B17" s="11" t="s">
        <v>437</v>
      </c>
      <c r="C17" s="11" t="s">
        <v>436</v>
      </c>
      <c r="D17" s="12" t="s">
        <v>435</v>
      </c>
      <c r="E17" s="13">
        <f>3411.16*2.4*1.2*0.805*4.21</f>
        <v>33294.504378240003</v>
      </c>
    </row>
    <row r="18" spans="1:5" ht="65.25" customHeight="1" x14ac:dyDescent="0.25">
      <c r="A18" s="10">
        <v>2</v>
      </c>
      <c r="B18" s="174" t="s">
        <v>17</v>
      </c>
      <c r="C18" s="12" t="s">
        <v>18</v>
      </c>
      <c r="D18" s="12" t="s">
        <v>412</v>
      </c>
      <c r="E18" s="13">
        <f>800*1*0.5*4.21</f>
        <v>1684</v>
      </c>
    </row>
    <row r="19" spans="1:5" ht="48" customHeight="1" x14ac:dyDescent="0.25">
      <c r="A19" s="10">
        <v>3</v>
      </c>
      <c r="B19" s="12" t="s">
        <v>20</v>
      </c>
      <c r="C19" s="15" t="s">
        <v>21</v>
      </c>
      <c r="D19" s="16">
        <f>(E17+E18)*0.1</f>
        <v>3497.8504378240004</v>
      </c>
      <c r="E19" s="17">
        <f>D19</f>
        <v>3497.8504378240004</v>
      </c>
    </row>
    <row r="20" spans="1:5" ht="48" customHeight="1" x14ac:dyDescent="0.25">
      <c r="A20" s="10">
        <v>4</v>
      </c>
      <c r="B20" s="119" t="s">
        <v>80</v>
      </c>
      <c r="C20" s="12" t="s">
        <v>89</v>
      </c>
      <c r="D20" s="16"/>
      <c r="E20" s="17">
        <v>8333.34</v>
      </c>
    </row>
    <row r="21" spans="1:5" ht="48" customHeight="1" x14ac:dyDescent="0.25">
      <c r="A21" s="10">
        <v>5</v>
      </c>
      <c r="B21" s="119" t="s">
        <v>23</v>
      </c>
      <c r="C21" s="118"/>
      <c r="D21" s="16"/>
      <c r="E21" s="17">
        <v>30680</v>
      </c>
    </row>
    <row r="22" spans="1:5" x14ac:dyDescent="0.25">
      <c r="A22" s="28">
        <v>6</v>
      </c>
      <c r="B22" s="19" t="s">
        <v>24</v>
      </c>
      <c r="C22" s="15"/>
      <c r="D22" s="15" t="s">
        <v>287</v>
      </c>
      <c r="E22" s="17">
        <f>E19+E18+E17+E20+E21</f>
        <v>77489.694816064002</v>
      </c>
    </row>
    <row r="23" spans="1:5" x14ac:dyDescent="0.25">
      <c r="A23" s="28">
        <v>7</v>
      </c>
      <c r="B23" s="19" t="s">
        <v>249</v>
      </c>
      <c r="C23" s="15"/>
      <c r="D23" s="15" t="s">
        <v>288</v>
      </c>
      <c r="E23" s="17">
        <f>ROUND(E22*20%,2)</f>
        <v>15497.94</v>
      </c>
    </row>
    <row r="24" spans="1:5" x14ac:dyDescent="0.25">
      <c r="A24" s="28">
        <v>8</v>
      </c>
      <c r="B24" s="19" t="s">
        <v>26</v>
      </c>
      <c r="C24" s="15"/>
      <c r="D24" s="15" t="s">
        <v>289</v>
      </c>
      <c r="E24" s="17">
        <f>E22+E23</f>
        <v>92987.634816064005</v>
      </c>
    </row>
    <row r="25" spans="1:5" x14ac:dyDescent="0.25">
      <c r="A25" s="20"/>
      <c r="B25" s="21"/>
      <c r="C25" s="22"/>
      <c r="D25" s="22"/>
      <c r="E25" s="23"/>
    </row>
    <row r="26" spans="1:5" x14ac:dyDescent="0.25">
      <c r="A26" s="1" t="s">
        <v>2</v>
      </c>
    </row>
    <row r="27" spans="1:5" x14ac:dyDescent="0.25">
      <c r="A27" s="1" t="s">
        <v>27</v>
      </c>
    </row>
    <row r="28" spans="1:5" x14ac:dyDescent="0.25">
      <c r="A28" s="1" t="s">
        <v>31</v>
      </c>
    </row>
    <row r="29" spans="1:5" x14ac:dyDescent="0.25">
      <c r="A29" s="4" t="s">
        <v>28</v>
      </c>
    </row>
    <row r="30" spans="1:5" x14ac:dyDescent="0.25">
      <c r="A30" s="1" t="s">
        <v>352</v>
      </c>
    </row>
    <row r="34" spans="5:5" x14ac:dyDescent="0.25">
      <c r="E34" s="1" t="s">
        <v>30</v>
      </c>
    </row>
  </sheetData>
  <mergeCells count="3">
    <mergeCell ref="B1:D1"/>
    <mergeCell ref="A11:E11"/>
    <mergeCell ref="A14:E14"/>
  </mergeCells>
  <pageMargins left="0.19685039370078741" right="0.19685039370078741" top="0.19685039370078741" bottom="0.19685039370078741" header="0.51181102362204722" footer="0.51181102362204722"/>
  <pageSetup paperSize="9" orientation="portrait" r:id="rId1"/>
  <headerFooter alignWithMargins="0"/>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2"/>
  <sheetViews>
    <sheetView topLeftCell="A13" zoomScaleNormal="100" workbookViewId="0">
      <selection activeCell="B25" sqref="B25"/>
    </sheetView>
  </sheetViews>
  <sheetFormatPr defaultRowHeight="15.75" x14ac:dyDescent="0.25"/>
  <cols>
    <col min="1" max="1" width="4.7109375" style="1" customWidth="1"/>
    <col min="2" max="2" width="26.140625" style="1" customWidth="1"/>
    <col min="3" max="3" width="33" style="1" customWidth="1"/>
    <col min="4" max="4" width="26.42578125" style="1" customWidth="1"/>
    <col min="5" max="5" width="11.85546875" style="1" customWidth="1"/>
    <col min="6" max="16384" width="9.140625" style="1"/>
  </cols>
  <sheetData>
    <row r="1" spans="1:5" x14ac:dyDescent="0.25">
      <c r="B1" s="188" t="s">
        <v>327</v>
      </c>
      <c r="C1" s="188"/>
      <c r="D1" s="188"/>
    </row>
    <row r="3" spans="1:5" x14ac:dyDescent="0.25">
      <c r="A3" s="92" t="s">
        <v>230</v>
      </c>
      <c r="B3" s="93"/>
      <c r="C3" s="94"/>
      <c r="D3" s="92" t="s">
        <v>231</v>
      </c>
      <c r="E3"/>
    </row>
    <row r="4" spans="1:5" x14ac:dyDescent="0.25">
      <c r="A4" s="95" t="s">
        <v>232</v>
      </c>
      <c r="B4" s="96"/>
      <c r="C4" s="94"/>
      <c r="D4" s="95" t="s">
        <v>233</v>
      </c>
      <c r="E4"/>
    </row>
    <row r="5" spans="1:5" x14ac:dyDescent="0.25">
      <c r="A5" s="97" t="s">
        <v>4</v>
      </c>
      <c r="B5" s="98"/>
      <c r="C5" s="20"/>
      <c r="D5" s="97" t="s">
        <v>183</v>
      </c>
      <c r="E5" s="99"/>
    </row>
    <row r="6" spans="1:5" x14ac:dyDescent="0.25">
      <c r="A6" s="97" t="s">
        <v>235</v>
      </c>
      <c r="B6" s="98"/>
      <c r="C6" s="100"/>
      <c r="D6" s="97" t="s">
        <v>5</v>
      </c>
      <c r="E6" s="101"/>
    </row>
    <row r="7" spans="1:5" x14ac:dyDescent="0.25">
      <c r="A7"/>
      <c r="B7" s="102"/>
      <c r="C7"/>
      <c r="D7" s="97"/>
      <c r="E7" s="99"/>
    </row>
    <row r="8" spans="1:5" x14ac:dyDescent="0.25">
      <c r="A8" s="97" t="s">
        <v>236</v>
      </c>
      <c r="B8" s="98"/>
      <c r="D8" s="97" t="s">
        <v>237</v>
      </c>
      <c r="E8" s="99"/>
    </row>
    <row r="9" spans="1:5" x14ac:dyDescent="0.25">
      <c r="A9" s="97" t="s">
        <v>326</v>
      </c>
      <c r="B9" s="98"/>
      <c r="D9" s="97" t="s">
        <v>325</v>
      </c>
      <c r="E9" s="98"/>
    </row>
    <row r="10" spans="1:5" x14ac:dyDescent="0.25">
      <c r="A10" s="4"/>
      <c r="D10" s="5"/>
      <c r="E10" s="6"/>
    </row>
    <row r="11" spans="1:5" ht="18" customHeight="1" x14ac:dyDescent="0.25">
      <c r="A11" s="189" t="s">
        <v>10</v>
      </c>
      <c r="B11" s="189"/>
      <c r="C11" s="189"/>
      <c r="D11" s="189"/>
      <c r="E11" s="189"/>
    </row>
    <row r="12" spans="1:5" x14ac:dyDescent="0.25">
      <c r="C12" s="175" t="s">
        <v>159</v>
      </c>
    </row>
    <row r="13" spans="1:5" x14ac:dyDescent="0.25">
      <c r="C13" s="7"/>
    </row>
    <row r="14" spans="1:5" ht="40.5" customHeight="1" x14ac:dyDescent="0.25">
      <c r="A14" s="190" t="s">
        <v>441</v>
      </c>
      <c r="B14" s="190"/>
      <c r="C14" s="190"/>
      <c r="D14" s="190"/>
      <c r="E14" s="190"/>
    </row>
    <row r="15" spans="1:5" x14ac:dyDescent="0.25">
      <c r="A15" s="8"/>
      <c r="B15" s="8"/>
      <c r="C15" s="8"/>
      <c r="D15" s="8"/>
      <c r="E15" s="8"/>
    </row>
    <row r="16" spans="1:5" ht="95.25" customHeight="1" x14ac:dyDescent="0.25">
      <c r="A16" s="9" t="s">
        <v>12</v>
      </c>
      <c r="B16" s="9" t="s">
        <v>13</v>
      </c>
      <c r="C16" s="9" t="s">
        <v>14</v>
      </c>
      <c r="D16" s="9" t="s">
        <v>15</v>
      </c>
      <c r="E16" s="9" t="s">
        <v>16</v>
      </c>
    </row>
    <row r="17" spans="1:5" ht="123.75" customHeight="1" x14ac:dyDescent="0.25">
      <c r="A17" s="10">
        <v>1</v>
      </c>
      <c r="B17" s="11" t="s">
        <v>438</v>
      </c>
      <c r="C17" s="11" t="s">
        <v>439</v>
      </c>
      <c r="D17" s="12" t="s">
        <v>440</v>
      </c>
      <c r="E17" s="13">
        <f>1292.89 *2.4*1.2*0.805*4.21</f>
        <v>12619.206300960001</v>
      </c>
    </row>
    <row r="18" spans="1:5" ht="65.25" customHeight="1" x14ac:dyDescent="0.25">
      <c r="A18" s="10">
        <v>2</v>
      </c>
      <c r="B18" s="176" t="s">
        <v>17</v>
      </c>
      <c r="C18" s="12" t="s">
        <v>18</v>
      </c>
      <c r="D18" s="12" t="s">
        <v>412</v>
      </c>
      <c r="E18" s="13">
        <f>800*1*0.5*4.21</f>
        <v>1684</v>
      </c>
    </row>
    <row r="19" spans="1:5" ht="48" customHeight="1" x14ac:dyDescent="0.25">
      <c r="A19" s="10">
        <v>3</v>
      </c>
      <c r="B19" s="12" t="s">
        <v>20</v>
      </c>
      <c r="C19" s="15" t="s">
        <v>21</v>
      </c>
      <c r="D19" s="16">
        <f>(E17+E18)*0.1</f>
        <v>1430.3206300960001</v>
      </c>
      <c r="E19" s="17">
        <f>D19</f>
        <v>1430.3206300960001</v>
      </c>
    </row>
    <row r="20" spans="1:5" x14ac:dyDescent="0.25">
      <c r="A20" s="28">
        <v>4</v>
      </c>
      <c r="B20" s="19" t="s">
        <v>24</v>
      </c>
      <c r="C20" s="15"/>
      <c r="D20" s="15" t="s">
        <v>257</v>
      </c>
      <c r="E20" s="17">
        <f>E19+E18+E17</f>
        <v>15733.526931056</v>
      </c>
    </row>
    <row r="21" spans="1:5" x14ac:dyDescent="0.25">
      <c r="A21" s="28">
        <v>5</v>
      </c>
      <c r="B21" s="19" t="s">
        <v>249</v>
      </c>
      <c r="C21" s="15"/>
      <c r="D21" s="15" t="s">
        <v>258</v>
      </c>
      <c r="E21" s="17">
        <f>ROUND(E20*20%,2)</f>
        <v>3146.71</v>
      </c>
    </row>
    <row r="22" spans="1:5" x14ac:dyDescent="0.25">
      <c r="A22" s="28">
        <v>6</v>
      </c>
      <c r="B22" s="19" t="s">
        <v>26</v>
      </c>
      <c r="C22" s="15"/>
      <c r="D22" s="15" t="s">
        <v>259</v>
      </c>
      <c r="E22" s="17">
        <f>E20+E21</f>
        <v>18880.236931055999</v>
      </c>
    </row>
    <row r="23" spans="1:5" x14ac:dyDescent="0.25">
      <c r="A23" s="20"/>
      <c r="B23" s="21"/>
      <c r="C23" s="22"/>
      <c r="D23" s="22"/>
      <c r="E23" s="23"/>
    </row>
    <row r="24" spans="1:5" x14ac:dyDescent="0.25">
      <c r="A24" s="1" t="s">
        <v>2</v>
      </c>
    </row>
    <row r="25" spans="1:5" x14ac:dyDescent="0.25">
      <c r="A25" s="1" t="s">
        <v>27</v>
      </c>
    </row>
    <row r="26" spans="1:5" x14ac:dyDescent="0.25">
      <c r="A26" s="1" t="s">
        <v>31</v>
      </c>
    </row>
    <row r="27" spans="1:5" x14ac:dyDescent="0.25">
      <c r="A27" s="4" t="s">
        <v>28</v>
      </c>
    </row>
    <row r="28" spans="1:5" x14ac:dyDescent="0.25">
      <c r="A28" s="1" t="s">
        <v>352</v>
      </c>
    </row>
    <row r="32" spans="1:5" x14ac:dyDescent="0.25">
      <c r="E32" s="1" t="s">
        <v>30</v>
      </c>
    </row>
  </sheetData>
  <mergeCells count="3">
    <mergeCell ref="B1:D1"/>
    <mergeCell ref="A11:E11"/>
    <mergeCell ref="A14:E14"/>
  </mergeCells>
  <pageMargins left="0.19685039370078741" right="0.19685039370078741" top="0.19685039370078741" bottom="0.19685039370078741" header="0.51181102362204722" footer="0.51181102362204722"/>
  <pageSetup paperSize="9" orientation="portrait" r:id="rId1"/>
  <headerFooter alignWithMargins="0"/>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2"/>
  <sheetViews>
    <sheetView topLeftCell="A10" zoomScaleNormal="100" workbookViewId="0">
      <selection activeCell="C20" sqref="C20"/>
    </sheetView>
  </sheetViews>
  <sheetFormatPr defaultRowHeight="15.75" x14ac:dyDescent="0.25"/>
  <cols>
    <col min="1" max="1" width="4.7109375" style="1" customWidth="1"/>
    <col min="2" max="2" width="26.140625" style="1" customWidth="1"/>
    <col min="3" max="3" width="33" style="1" customWidth="1"/>
    <col min="4" max="4" width="26.42578125" style="1" customWidth="1"/>
    <col min="5" max="5" width="11.85546875" style="1" customWidth="1"/>
    <col min="6" max="16384" width="9.140625" style="1"/>
  </cols>
  <sheetData>
    <row r="1" spans="1:5" x14ac:dyDescent="0.25">
      <c r="B1" s="188" t="s">
        <v>445</v>
      </c>
      <c r="C1" s="188"/>
      <c r="D1" s="188"/>
    </row>
    <row r="3" spans="1:5" x14ac:dyDescent="0.25">
      <c r="A3" s="92" t="s">
        <v>230</v>
      </c>
      <c r="B3" s="93"/>
      <c r="C3" s="94"/>
      <c r="D3" s="92" t="s">
        <v>231</v>
      </c>
      <c r="E3"/>
    </row>
    <row r="4" spans="1:5" x14ac:dyDescent="0.25">
      <c r="A4" s="95" t="s">
        <v>232</v>
      </c>
      <c r="B4" s="96"/>
      <c r="C4" s="94"/>
      <c r="D4" s="95" t="s">
        <v>233</v>
      </c>
      <c r="E4"/>
    </row>
    <row r="5" spans="1:5" x14ac:dyDescent="0.25">
      <c r="A5" s="97" t="s">
        <v>4</v>
      </c>
      <c r="B5" s="98"/>
      <c r="C5" s="20"/>
      <c r="D5" s="97" t="s">
        <v>183</v>
      </c>
      <c r="E5" s="99"/>
    </row>
    <row r="6" spans="1:5" x14ac:dyDescent="0.25">
      <c r="A6" s="97" t="s">
        <v>235</v>
      </c>
      <c r="B6" s="98"/>
      <c r="C6" s="100"/>
      <c r="D6" s="97" t="s">
        <v>5</v>
      </c>
      <c r="E6" s="101"/>
    </row>
    <row r="7" spans="1:5" x14ac:dyDescent="0.25">
      <c r="A7"/>
      <c r="B7" s="102"/>
      <c r="C7"/>
      <c r="D7" s="97"/>
      <c r="E7" s="99"/>
    </row>
    <row r="8" spans="1:5" x14ac:dyDescent="0.25">
      <c r="A8" s="97" t="s">
        <v>236</v>
      </c>
      <c r="B8" s="98"/>
      <c r="D8" s="97" t="s">
        <v>237</v>
      </c>
      <c r="E8" s="99"/>
    </row>
    <row r="9" spans="1:5" x14ac:dyDescent="0.25">
      <c r="A9" s="97" t="s">
        <v>446</v>
      </c>
      <c r="B9" s="98"/>
      <c r="D9" s="97" t="s">
        <v>447</v>
      </c>
      <c r="E9" s="98"/>
    </row>
    <row r="10" spans="1:5" x14ac:dyDescent="0.25">
      <c r="A10" s="4"/>
      <c r="D10" s="5"/>
      <c r="E10" s="6"/>
    </row>
    <row r="11" spans="1:5" ht="18" customHeight="1" x14ac:dyDescent="0.25">
      <c r="A11" s="189" t="s">
        <v>10</v>
      </c>
      <c r="B11" s="189"/>
      <c r="C11" s="189"/>
      <c r="D11" s="189"/>
      <c r="E11" s="189"/>
    </row>
    <row r="12" spans="1:5" x14ac:dyDescent="0.25">
      <c r="C12" s="177" t="s">
        <v>159</v>
      </c>
    </row>
    <row r="13" spans="1:5" x14ac:dyDescent="0.25">
      <c r="C13" s="7"/>
    </row>
    <row r="14" spans="1:5" ht="40.5" customHeight="1" x14ac:dyDescent="0.25">
      <c r="A14" s="190" t="s">
        <v>448</v>
      </c>
      <c r="B14" s="190"/>
      <c r="C14" s="190"/>
      <c r="D14" s="190"/>
      <c r="E14" s="190"/>
    </row>
    <row r="15" spans="1:5" x14ac:dyDescent="0.25">
      <c r="A15" s="8"/>
      <c r="B15" s="8"/>
      <c r="C15" s="8"/>
      <c r="D15" s="8"/>
      <c r="E15" s="8"/>
    </row>
    <row r="16" spans="1:5" ht="95.25" customHeight="1" x14ac:dyDescent="0.25">
      <c r="A16" s="9" t="s">
        <v>12</v>
      </c>
      <c r="B16" s="9" t="s">
        <v>13</v>
      </c>
      <c r="C16" s="9" t="s">
        <v>14</v>
      </c>
      <c r="D16" s="9" t="s">
        <v>15</v>
      </c>
      <c r="E16" s="9" t="s">
        <v>16</v>
      </c>
    </row>
    <row r="17" spans="1:5" ht="123.75" customHeight="1" x14ac:dyDescent="0.25">
      <c r="A17" s="10">
        <v>1</v>
      </c>
      <c r="B17" s="11" t="s">
        <v>442</v>
      </c>
      <c r="C17" s="11" t="s">
        <v>443</v>
      </c>
      <c r="D17" s="12" t="s">
        <v>444</v>
      </c>
      <c r="E17" s="13">
        <f>1140.06*2.4*1.2*0.805*4.21</f>
        <v>11127.51458784</v>
      </c>
    </row>
    <row r="18" spans="1:5" ht="65.25" customHeight="1" x14ac:dyDescent="0.25">
      <c r="A18" s="10">
        <v>2</v>
      </c>
      <c r="B18" s="178" t="s">
        <v>17</v>
      </c>
      <c r="C18" s="12" t="s">
        <v>18</v>
      </c>
      <c r="D18" s="12" t="s">
        <v>412</v>
      </c>
      <c r="E18" s="13">
        <f>800*1*0.5*4.21</f>
        <v>1684</v>
      </c>
    </row>
    <row r="19" spans="1:5" ht="48" customHeight="1" x14ac:dyDescent="0.25">
      <c r="A19" s="10">
        <v>3</v>
      </c>
      <c r="B19" s="12" t="s">
        <v>20</v>
      </c>
      <c r="C19" s="15" t="s">
        <v>21</v>
      </c>
      <c r="D19" s="16">
        <f>(E17+E18)*0.1</f>
        <v>1281.1514587840002</v>
      </c>
      <c r="E19" s="17">
        <f>D19</f>
        <v>1281.1514587840002</v>
      </c>
    </row>
    <row r="20" spans="1:5" x14ac:dyDescent="0.25">
      <c r="A20" s="28">
        <v>4</v>
      </c>
      <c r="B20" s="19" t="s">
        <v>24</v>
      </c>
      <c r="C20" s="15"/>
      <c r="D20" s="15" t="s">
        <v>257</v>
      </c>
      <c r="E20" s="17">
        <f>E19+E18+E17</f>
        <v>14092.666046623999</v>
      </c>
    </row>
    <row r="21" spans="1:5" x14ac:dyDescent="0.25">
      <c r="A21" s="28">
        <v>5</v>
      </c>
      <c r="B21" s="19" t="s">
        <v>249</v>
      </c>
      <c r="C21" s="15"/>
      <c r="D21" s="15" t="s">
        <v>258</v>
      </c>
      <c r="E21" s="17">
        <f>ROUND(E20*20%,2)</f>
        <v>2818.53</v>
      </c>
    </row>
    <row r="22" spans="1:5" x14ac:dyDescent="0.25">
      <c r="A22" s="28">
        <v>6</v>
      </c>
      <c r="B22" s="19" t="s">
        <v>26</v>
      </c>
      <c r="C22" s="15"/>
      <c r="D22" s="15" t="s">
        <v>259</v>
      </c>
      <c r="E22" s="17">
        <f>E20+E21</f>
        <v>16911.196046623998</v>
      </c>
    </row>
    <row r="23" spans="1:5" x14ac:dyDescent="0.25">
      <c r="A23" s="20"/>
      <c r="B23" s="21"/>
      <c r="C23" s="22"/>
      <c r="D23" s="22"/>
      <c r="E23" s="23"/>
    </row>
    <row r="24" spans="1:5" x14ac:dyDescent="0.25">
      <c r="A24" s="1" t="s">
        <v>2</v>
      </c>
    </row>
    <row r="25" spans="1:5" x14ac:dyDescent="0.25">
      <c r="A25" s="1" t="s">
        <v>27</v>
      </c>
    </row>
    <row r="26" spans="1:5" x14ac:dyDescent="0.25">
      <c r="A26" s="1" t="s">
        <v>31</v>
      </c>
    </row>
    <row r="27" spans="1:5" x14ac:dyDescent="0.25">
      <c r="A27" s="4" t="s">
        <v>28</v>
      </c>
    </row>
    <row r="28" spans="1:5" x14ac:dyDescent="0.25">
      <c r="A28" s="1" t="s">
        <v>352</v>
      </c>
    </row>
    <row r="32" spans="1:5" x14ac:dyDescent="0.25">
      <c r="E32" s="1" t="s">
        <v>30</v>
      </c>
    </row>
  </sheetData>
  <mergeCells count="3">
    <mergeCell ref="B1:D1"/>
    <mergeCell ref="A11:E11"/>
    <mergeCell ref="A14:E14"/>
  </mergeCells>
  <pageMargins left="0.19685039370078741" right="0.19685039370078741" top="0.19685039370078741" bottom="0.19685039370078741" header="0.51181102362204722" footer="0.51181102362204722"/>
  <pageSetup paperSize="9" orientation="portrait" r:id="rId1"/>
  <headerFooter alignWithMargins="0"/>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3"/>
  <sheetViews>
    <sheetView topLeftCell="A4" zoomScaleNormal="100" workbookViewId="0">
      <selection activeCell="B17" sqref="B17"/>
    </sheetView>
  </sheetViews>
  <sheetFormatPr defaultRowHeight="15.75" x14ac:dyDescent="0.25"/>
  <cols>
    <col min="1" max="1" width="4.7109375" style="1" customWidth="1"/>
    <col min="2" max="2" width="26.140625" style="1" customWidth="1"/>
    <col min="3" max="3" width="33" style="1" customWidth="1"/>
    <col min="4" max="4" width="26.42578125" style="1" customWidth="1"/>
    <col min="5" max="5" width="11.85546875" style="1" customWidth="1"/>
    <col min="6" max="16384" width="9.140625" style="1"/>
  </cols>
  <sheetData>
    <row r="1" spans="1:5" x14ac:dyDescent="0.25">
      <c r="B1" s="188" t="s">
        <v>445</v>
      </c>
      <c r="C1" s="188"/>
      <c r="D1" s="188"/>
    </row>
    <row r="3" spans="1:5" x14ac:dyDescent="0.25">
      <c r="A3" s="92" t="s">
        <v>230</v>
      </c>
      <c r="B3" s="93"/>
      <c r="C3" s="94"/>
      <c r="D3" s="92" t="s">
        <v>231</v>
      </c>
      <c r="E3"/>
    </row>
    <row r="4" spans="1:5" x14ac:dyDescent="0.25">
      <c r="A4" s="95" t="s">
        <v>232</v>
      </c>
      <c r="B4" s="96"/>
      <c r="C4" s="94"/>
      <c r="D4" s="95" t="s">
        <v>233</v>
      </c>
      <c r="E4"/>
    </row>
    <row r="5" spans="1:5" x14ac:dyDescent="0.25">
      <c r="A5" s="97" t="s">
        <v>4</v>
      </c>
      <c r="B5" s="98"/>
      <c r="C5" s="20"/>
      <c r="D5" s="97" t="s">
        <v>183</v>
      </c>
      <c r="E5" s="99"/>
    </row>
    <row r="6" spans="1:5" x14ac:dyDescent="0.25">
      <c r="A6" s="97" t="s">
        <v>235</v>
      </c>
      <c r="B6" s="98"/>
      <c r="C6" s="100"/>
      <c r="D6" s="97" t="s">
        <v>5</v>
      </c>
      <c r="E6" s="101"/>
    </row>
    <row r="7" spans="1:5" x14ac:dyDescent="0.25">
      <c r="A7"/>
      <c r="B7" s="102"/>
      <c r="C7"/>
      <c r="D7" s="97"/>
      <c r="E7" s="99"/>
    </row>
    <row r="8" spans="1:5" x14ac:dyDescent="0.25">
      <c r="A8" s="97" t="s">
        <v>236</v>
      </c>
      <c r="B8" s="98"/>
      <c r="D8" s="97" t="s">
        <v>237</v>
      </c>
      <c r="E8" s="99"/>
    </row>
    <row r="9" spans="1:5" x14ac:dyDescent="0.25">
      <c r="A9" s="97" t="s">
        <v>446</v>
      </c>
      <c r="B9" s="98"/>
      <c r="D9" s="97" t="s">
        <v>447</v>
      </c>
      <c r="E9" s="98"/>
    </row>
    <row r="10" spans="1:5" x14ac:dyDescent="0.25">
      <c r="A10" s="4"/>
      <c r="D10" s="5"/>
      <c r="E10" s="6"/>
    </row>
    <row r="11" spans="1:5" ht="18" customHeight="1" x14ac:dyDescent="0.25">
      <c r="A11" s="189" t="s">
        <v>10</v>
      </c>
      <c r="B11" s="189"/>
      <c r="C11" s="189"/>
      <c r="D11" s="189"/>
      <c r="E11" s="189"/>
    </row>
    <row r="12" spans="1:5" x14ac:dyDescent="0.25">
      <c r="C12" s="179" t="s">
        <v>159</v>
      </c>
    </row>
    <row r="13" spans="1:5" x14ac:dyDescent="0.25">
      <c r="C13" s="7"/>
    </row>
    <row r="14" spans="1:5" ht="40.5" customHeight="1" x14ac:dyDescent="0.25">
      <c r="A14" s="190" t="s">
        <v>454</v>
      </c>
      <c r="B14" s="190"/>
      <c r="C14" s="190"/>
      <c r="D14" s="190"/>
      <c r="E14" s="190"/>
    </row>
    <row r="15" spans="1:5" x14ac:dyDescent="0.25">
      <c r="A15" s="8"/>
      <c r="B15" s="8"/>
      <c r="C15" s="8"/>
      <c r="D15" s="8"/>
      <c r="E15" s="8"/>
    </row>
    <row r="16" spans="1:5" ht="95.25" customHeight="1" x14ac:dyDescent="0.25">
      <c r="A16" s="9" t="s">
        <v>12</v>
      </c>
      <c r="B16" s="9" t="s">
        <v>13</v>
      </c>
      <c r="C16" s="9" t="s">
        <v>14</v>
      </c>
      <c r="D16" s="9" t="s">
        <v>15</v>
      </c>
      <c r="E16" s="9" t="s">
        <v>16</v>
      </c>
    </row>
    <row r="17" spans="1:5" ht="123.75" customHeight="1" x14ac:dyDescent="0.25">
      <c r="A17" s="10">
        <v>1</v>
      </c>
      <c r="B17" s="11" t="s">
        <v>449</v>
      </c>
      <c r="C17" s="11" t="s">
        <v>450</v>
      </c>
      <c r="D17" s="12" t="s">
        <v>451</v>
      </c>
      <c r="E17" s="13">
        <f>563.36*2.4*1.2*0.805*4.21</f>
        <v>5498.6549990400008</v>
      </c>
    </row>
    <row r="18" spans="1:5" ht="65.25" customHeight="1" x14ac:dyDescent="0.25">
      <c r="A18" s="10">
        <v>2</v>
      </c>
      <c r="B18" s="180" t="s">
        <v>17</v>
      </c>
      <c r="C18" s="12" t="s">
        <v>18</v>
      </c>
      <c r="D18" s="12" t="s">
        <v>412</v>
      </c>
      <c r="E18" s="13">
        <f>800*1*0.5*4.21</f>
        <v>1684</v>
      </c>
    </row>
    <row r="19" spans="1:5" ht="48" customHeight="1" x14ac:dyDescent="0.25">
      <c r="A19" s="10">
        <v>3</v>
      </c>
      <c r="B19" s="12" t="s">
        <v>20</v>
      </c>
      <c r="C19" s="15" t="s">
        <v>21</v>
      </c>
      <c r="D19" s="16">
        <f>(E17+E18)*0.1</f>
        <v>718.26549990400008</v>
      </c>
      <c r="E19" s="17">
        <f>D19</f>
        <v>718.26549990400008</v>
      </c>
    </row>
    <row r="20" spans="1:5" ht="48" customHeight="1" x14ac:dyDescent="0.25">
      <c r="A20" s="10">
        <v>4</v>
      </c>
      <c r="B20" s="119" t="s">
        <v>80</v>
      </c>
      <c r="C20" s="12" t="s">
        <v>89</v>
      </c>
      <c r="D20" s="16"/>
      <c r="E20" s="17">
        <v>833.34</v>
      </c>
    </row>
    <row r="21" spans="1:5" x14ac:dyDescent="0.25">
      <c r="A21" s="28">
        <v>5</v>
      </c>
      <c r="B21" s="19" t="s">
        <v>24</v>
      </c>
      <c r="C21" s="15"/>
      <c r="D21" s="15" t="s">
        <v>142</v>
      </c>
      <c r="E21" s="17">
        <f>E19+E18+E17+E20</f>
        <v>8734.2604989440006</v>
      </c>
    </row>
    <row r="22" spans="1:5" x14ac:dyDescent="0.25">
      <c r="A22" s="28">
        <v>6</v>
      </c>
      <c r="B22" s="19" t="s">
        <v>249</v>
      </c>
      <c r="C22" s="15"/>
      <c r="D22" s="15" t="s">
        <v>452</v>
      </c>
      <c r="E22" s="17">
        <f>ROUND(E21*20%,2)</f>
        <v>1746.85</v>
      </c>
    </row>
    <row r="23" spans="1:5" x14ac:dyDescent="0.25">
      <c r="A23" s="28">
        <v>7</v>
      </c>
      <c r="B23" s="19" t="s">
        <v>26</v>
      </c>
      <c r="C23" s="15"/>
      <c r="D23" s="15" t="s">
        <v>453</v>
      </c>
      <c r="E23" s="17">
        <f>E21+E22</f>
        <v>10481.110498944001</v>
      </c>
    </row>
    <row r="24" spans="1:5" x14ac:dyDescent="0.25">
      <c r="A24" s="20"/>
      <c r="B24" s="21"/>
      <c r="C24" s="22"/>
      <c r="D24" s="22"/>
      <c r="E24" s="23"/>
    </row>
    <row r="25" spans="1:5" x14ac:dyDescent="0.25">
      <c r="A25" s="1" t="s">
        <v>2</v>
      </c>
    </row>
    <row r="26" spans="1:5" x14ac:dyDescent="0.25">
      <c r="A26" s="1" t="s">
        <v>27</v>
      </c>
    </row>
    <row r="27" spans="1:5" x14ac:dyDescent="0.25">
      <c r="A27" s="1" t="s">
        <v>31</v>
      </c>
    </row>
    <row r="28" spans="1:5" x14ac:dyDescent="0.25">
      <c r="A28" s="4" t="s">
        <v>28</v>
      </c>
    </row>
    <row r="29" spans="1:5" x14ac:dyDescent="0.25">
      <c r="A29" s="1" t="s">
        <v>352</v>
      </c>
    </row>
    <row r="33" spans="5:5" x14ac:dyDescent="0.25">
      <c r="E33" s="1" t="s">
        <v>30</v>
      </c>
    </row>
  </sheetData>
  <mergeCells count="3">
    <mergeCell ref="B1:D1"/>
    <mergeCell ref="A11:E11"/>
    <mergeCell ref="A14:E14"/>
  </mergeCells>
  <pageMargins left="0.19685039370078741" right="0.19685039370078741" top="0.19685039370078741" bottom="0.19685039370078741" header="0.51181102362204722" footer="0.51181102362204722"/>
  <pageSetup paperSize="9" orientation="portrait" r:id="rId1"/>
  <headerFooter alignWithMargins="0"/>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44"/>
  <sheetViews>
    <sheetView zoomScaleNormal="100" workbookViewId="0">
      <selection activeCell="H26" sqref="H26"/>
    </sheetView>
  </sheetViews>
  <sheetFormatPr defaultColWidth="11.5703125" defaultRowHeight="12.75" x14ac:dyDescent="0.2"/>
  <cols>
    <col min="1" max="1" width="3.7109375" style="50" customWidth="1"/>
    <col min="2" max="2" width="10.7109375" style="50" customWidth="1"/>
    <col min="3" max="3" width="10.28515625" style="50" customWidth="1"/>
    <col min="4" max="6" width="9.28515625" style="50" customWidth="1"/>
    <col min="7" max="7" width="19.42578125" style="50" customWidth="1"/>
    <col min="8" max="8" width="16.5703125" style="50" customWidth="1"/>
    <col min="9" max="9" width="13.5703125" style="50" customWidth="1"/>
    <col min="10" max="10" width="19.7109375" style="51" customWidth="1"/>
    <col min="11" max="256" width="11.5703125" style="51"/>
    <col min="257" max="257" width="3.7109375" style="51" customWidth="1"/>
    <col min="258" max="259" width="10.7109375" style="51" customWidth="1"/>
    <col min="260" max="263" width="9.28515625" style="51" customWidth="1"/>
    <col min="264" max="264" width="14.5703125" style="51" customWidth="1"/>
    <col min="265" max="265" width="17.7109375" style="51" customWidth="1"/>
    <col min="266" max="266" width="19.7109375" style="51" customWidth="1"/>
    <col min="267" max="512" width="11.5703125" style="51"/>
    <col min="513" max="513" width="3.7109375" style="51" customWidth="1"/>
    <col min="514" max="515" width="10.7109375" style="51" customWidth="1"/>
    <col min="516" max="519" width="9.28515625" style="51" customWidth="1"/>
    <col min="520" max="520" width="14.5703125" style="51" customWidth="1"/>
    <col min="521" max="521" width="17.7109375" style="51" customWidth="1"/>
    <col min="522" max="522" width="19.7109375" style="51" customWidth="1"/>
    <col min="523" max="768" width="11.5703125" style="51"/>
    <col min="769" max="769" width="3.7109375" style="51" customWidth="1"/>
    <col min="770" max="771" width="10.7109375" style="51" customWidth="1"/>
    <col min="772" max="775" width="9.28515625" style="51" customWidth="1"/>
    <col min="776" max="776" width="14.5703125" style="51" customWidth="1"/>
    <col min="777" max="777" width="17.7109375" style="51" customWidth="1"/>
    <col min="778" max="778" width="19.7109375" style="51" customWidth="1"/>
    <col min="779" max="1024" width="11.5703125" style="51"/>
    <col min="1025" max="1025" width="3.7109375" style="51" customWidth="1"/>
    <col min="1026" max="1027" width="10.7109375" style="51" customWidth="1"/>
    <col min="1028" max="1031" width="9.28515625" style="51" customWidth="1"/>
    <col min="1032" max="1032" width="14.5703125" style="51" customWidth="1"/>
    <col min="1033" max="1033" width="17.7109375" style="51" customWidth="1"/>
    <col min="1034" max="1034" width="19.7109375" style="51" customWidth="1"/>
    <col min="1035" max="1280" width="11.5703125" style="51"/>
    <col min="1281" max="1281" width="3.7109375" style="51" customWidth="1"/>
    <col min="1282" max="1283" width="10.7109375" style="51" customWidth="1"/>
    <col min="1284" max="1287" width="9.28515625" style="51" customWidth="1"/>
    <col min="1288" max="1288" width="14.5703125" style="51" customWidth="1"/>
    <col min="1289" max="1289" width="17.7109375" style="51" customWidth="1"/>
    <col min="1290" max="1290" width="19.7109375" style="51" customWidth="1"/>
    <col min="1291" max="1536" width="11.5703125" style="51"/>
    <col min="1537" max="1537" width="3.7109375" style="51" customWidth="1"/>
    <col min="1538" max="1539" width="10.7109375" style="51" customWidth="1"/>
    <col min="1540" max="1543" width="9.28515625" style="51" customWidth="1"/>
    <col min="1544" max="1544" width="14.5703125" style="51" customWidth="1"/>
    <col min="1545" max="1545" width="17.7109375" style="51" customWidth="1"/>
    <col min="1546" max="1546" width="19.7109375" style="51" customWidth="1"/>
    <col min="1547" max="1792" width="11.5703125" style="51"/>
    <col min="1793" max="1793" width="3.7109375" style="51" customWidth="1"/>
    <col min="1794" max="1795" width="10.7109375" style="51" customWidth="1"/>
    <col min="1796" max="1799" width="9.28515625" style="51" customWidth="1"/>
    <col min="1800" max="1800" width="14.5703125" style="51" customWidth="1"/>
    <col min="1801" max="1801" width="17.7109375" style="51" customWidth="1"/>
    <col min="1802" max="1802" width="19.7109375" style="51" customWidth="1"/>
    <col min="1803" max="2048" width="11.5703125" style="51"/>
    <col min="2049" max="2049" width="3.7109375" style="51" customWidth="1"/>
    <col min="2050" max="2051" width="10.7109375" style="51" customWidth="1"/>
    <col min="2052" max="2055" width="9.28515625" style="51" customWidth="1"/>
    <col min="2056" max="2056" width="14.5703125" style="51" customWidth="1"/>
    <col min="2057" max="2057" width="17.7109375" style="51" customWidth="1"/>
    <col min="2058" max="2058" width="19.7109375" style="51" customWidth="1"/>
    <col min="2059" max="2304" width="11.5703125" style="51"/>
    <col min="2305" max="2305" width="3.7109375" style="51" customWidth="1"/>
    <col min="2306" max="2307" width="10.7109375" style="51" customWidth="1"/>
    <col min="2308" max="2311" width="9.28515625" style="51" customWidth="1"/>
    <col min="2312" max="2312" width="14.5703125" style="51" customWidth="1"/>
    <col min="2313" max="2313" width="17.7109375" style="51" customWidth="1"/>
    <col min="2314" max="2314" width="19.7109375" style="51" customWidth="1"/>
    <col min="2315" max="2560" width="11.5703125" style="51"/>
    <col min="2561" max="2561" width="3.7109375" style="51" customWidth="1"/>
    <col min="2562" max="2563" width="10.7109375" style="51" customWidth="1"/>
    <col min="2564" max="2567" width="9.28515625" style="51" customWidth="1"/>
    <col min="2568" max="2568" width="14.5703125" style="51" customWidth="1"/>
    <col min="2569" max="2569" width="17.7109375" style="51" customWidth="1"/>
    <col min="2570" max="2570" width="19.7109375" style="51" customWidth="1"/>
    <col min="2571" max="2816" width="11.5703125" style="51"/>
    <col min="2817" max="2817" width="3.7109375" style="51" customWidth="1"/>
    <col min="2818" max="2819" width="10.7109375" style="51" customWidth="1"/>
    <col min="2820" max="2823" width="9.28515625" style="51" customWidth="1"/>
    <col min="2824" max="2824" width="14.5703125" style="51" customWidth="1"/>
    <col min="2825" max="2825" width="17.7109375" style="51" customWidth="1"/>
    <col min="2826" max="2826" width="19.7109375" style="51" customWidth="1"/>
    <col min="2827" max="3072" width="11.5703125" style="51"/>
    <col min="3073" max="3073" width="3.7109375" style="51" customWidth="1"/>
    <col min="3074" max="3075" width="10.7109375" style="51" customWidth="1"/>
    <col min="3076" max="3079" width="9.28515625" style="51" customWidth="1"/>
    <col min="3080" max="3080" width="14.5703125" style="51" customWidth="1"/>
    <col min="3081" max="3081" width="17.7109375" style="51" customWidth="1"/>
    <col min="3082" max="3082" width="19.7109375" style="51" customWidth="1"/>
    <col min="3083" max="3328" width="11.5703125" style="51"/>
    <col min="3329" max="3329" width="3.7109375" style="51" customWidth="1"/>
    <col min="3330" max="3331" width="10.7109375" style="51" customWidth="1"/>
    <col min="3332" max="3335" width="9.28515625" style="51" customWidth="1"/>
    <col min="3336" max="3336" width="14.5703125" style="51" customWidth="1"/>
    <col min="3337" max="3337" width="17.7109375" style="51" customWidth="1"/>
    <col min="3338" max="3338" width="19.7109375" style="51" customWidth="1"/>
    <col min="3339" max="3584" width="11.5703125" style="51"/>
    <col min="3585" max="3585" width="3.7109375" style="51" customWidth="1"/>
    <col min="3586" max="3587" width="10.7109375" style="51" customWidth="1"/>
    <col min="3588" max="3591" width="9.28515625" style="51" customWidth="1"/>
    <col min="3592" max="3592" width="14.5703125" style="51" customWidth="1"/>
    <col min="3593" max="3593" width="17.7109375" style="51" customWidth="1"/>
    <col min="3594" max="3594" width="19.7109375" style="51" customWidth="1"/>
    <col min="3595" max="3840" width="11.5703125" style="51"/>
    <col min="3841" max="3841" width="3.7109375" style="51" customWidth="1"/>
    <col min="3842" max="3843" width="10.7109375" style="51" customWidth="1"/>
    <col min="3844" max="3847" width="9.28515625" style="51" customWidth="1"/>
    <col min="3848" max="3848" width="14.5703125" style="51" customWidth="1"/>
    <col min="3849" max="3849" width="17.7109375" style="51" customWidth="1"/>
    <col min="3850" max="3850" width="19.7109375" style="51" customWidth="1"/>
    <col min="3851" max="4096" width="11.5703125" style="51"/>
    <col min="4097" max="4097" width="3.7109375" style="51" customWidth="1"/>
    <col min="4098" max="4099" width="10.7109375" style="51" customWidth="1"/>
    <col min="4100" max="4103" width="9.28515625" style="51" customWidth="1"/>
    <col min="4104" max="4104" width="14.5703125" style="51" customWidth="1"/>
    <col min="4105" max="4105" width="17.7109375" style="51" customWidth="1"/>
    <col min="4106" max="4106" width="19.7109375" style="51" customWidth="1"/>
    <col min="4107" max="4352" width="11.5703125" style="51"/>
    <col min="4353" max="4353" width="3.7109375" style="51" customWidth="1"/>
    <col min="4354" max="4355" width="10.7109375" style="51" customWidth="1"/>
    <col min="4356" max="4359" width="9.28515625" style="51" customWidth="1"/>
    <col min="4360" max="4360" width="14.5703125" style="51" customWidth="1"/>
    <col min="4361" max="4361" width="17.7109375" style="51" customWidth="1"/>
    <col min="4362" max="4362" width="19.7109375" style="51" customWidth="1"/>
    <col min="4363" max="4608" width="11.5703125" style="51"/>
    <col min="4609" max="4609" width="3.7109375" style="51" customWidth="1"/>
    <col min="4610" max="4611" width="10.7109375" style="51" customWidth="1"/>
    <col min="4612" max="4615" width="9.28515625" style="51" customWidth="1"/>
    <col min="4616" max="4616" width="14.5703125" style="51" customWidth="1"/>
    <col min="4617" max="4617" width="17.7109375" style="51" customWidth="1"/>
    <col min="4618" max="4618" width="19.7109375" style="51" customWidth="1"/>
    <col min="4619" max="4864" width="11.5703125" style="51"/>
    <col min="4865" max="4865" width="3.7109375" style="51" customWidth="1"/>
    <col min="4866" max="4867" width="10.7109375" style="51" customWidth="1"/>
    <col min="4868" max="4871" width="9.28515625" style="51" customWidth="1"/>
    <col min="4872" max="4872" width="14.5703125" style="51" customWidth="1"/>
    <col min="4873" max="4873" width="17.7109375" style="51" customWidth="1"/>
    <col min="4874" max="4874" width="19.7109375" style="51" customWidth="1"/>
    <col min="4875" max="5120" width="11.5703125" style="51"/>
    <col min="5121" max="5121" width="3.7109375" style="51" customWidth="1"/>
    <col min="5122" max="5123" width="10.7109375" style="51" customWidth="1"/>
    <col min="5124" max="5127" width="9.28515625" style="51" customWidth="1"/>
    <col min="5128" max="5128" width="14.5703125" style="51" customWidth="1"/>
    <col min="5129" max="5129" width="17.7109375" style="51" customWidth="1"/>
    <col min="5130" max="5130" width="19.7109375" style="51" customWidth="1"/>
    <col min="5131" max="5376" width="11.5703125" style="51"/>
    <col min="5377" max="5377" width="3.7109375" style="51" customWidth="1"/>
    <col min="5378" max="5379" width="10.7109375" style="51" customWidth="1"/>
    <col min="5380" max="5383" width="9.28515625" style="51" customWidth="1"/>
    <col min="5384" max="5384" width="14.5703125" style="51" customWidth="1"/>
    <col min="5385" max="5385" width="17.7109375" style="51" customWidth="1"/>
    <col min="5386" max="5386" width="19.7109375" style="51" customWidth="1"/>
    <col min="5387" max="5632" width="11.5703125" style="51"/>
    <col min="5633" max="5633" width="3.7109375" style="51" customWidth="1"/>
    <col min="5634" max="5635" width="10.7109375" style="51" customWidth="1"/>
    <col min="5636" max="5639" width="9.28515625" style="51" customWidth="1"/>
    <col min="5640" max="5640" width="14.5703125" style="51" customWidth="1"/>
    <col min="5641" max="5641" width="17.7109375" style="51" customWidth="1"/>
    <col min="5642" max="5642" width="19.7109375" style="51" customWidth="1"/>
    <col min="5643" max="5888" width="11.5703125" style="51"/>
    <col min="5889" max="5889" width="3.7109375" style="51" customWidth="1"/>
    <col min="5890" max="5891" width="10.7109375" style="51" customWidth="1"/>
    <col min="5892" max="5895" width="9.28515625" style="51" customWidth="1"/>
    <col min="5896" max="5896" width="14.5703125" style="51" customWidth="1"/>
    <col min="5897" max="5897" width="17.7109375" style="51" customWidth="1"/>
    <col min="5898" max="5898" width="19.7109375" style="51" customWidth="1"/>
    <col min="5899" max="6144" width="11.5703125" style="51"/>
    <col min="6145" max="6145" width="3.7109375" style="51" customWidth="1"/>
    <col min="6146" max="6147" width="10.7109375" style="51" customWidth="1"/>
    <col min="6148" max="6151" width="9.28515625" style="51" customWidth="1"/>
    <col min="6152" max="6152" width="14.5703125" style="51" customWidth="1"/>
    <col min="6153" max="6153" width="17.7109375" style="51" customWidth="1"/>
    <col min="6154" max="6154" width="19.7109375" style="51" customWidth="1"/>
    <col min="6155" max="6400" width="11.5703125" style="51"/>
    <col min="6401" max="6401" width="3.7109375" style="51" customWidth="1"/>
    <col min="6402" max="6403" width="10.7109375" style="51" customWidth="1"/>
    <col min="6404" max="6407" width="9.28515625" style="51" customWidth="1"/>
    <col min="6408" max="6408" width="14.5703125" style="51" customWidth="1"/>
    <col min="6409" max="6409" width="17.7109375" style="51" customWidth="1"/>
    <col min="6410" max="6410" width="19.7109375" style="51" customWidth="1"/>
    <col min="6411" max="6656" width="11.5703125" style="51"/>
    <col min="6657" max="6657" width="3.7109375" style="51" customWidth="1"/>
    <col min="6658" max="6659" width="10.7109375" style="51" customWidth="1"/>
    <col min="6660" max="6663" width="9.28515625" style="51" customWidth="1"/>
    <col min="6664" max="6664" width="14.5703125" style="51" customWidth="1"/>
    <col min="6665" max="6665" width="17.7109375" style="51" customWidth="1"/>
    <col min="6666" max="6666" width="19.7109375" style="51" customWidth="1"/>
    <col min="6667" max="6912" width="11.5703125" style="51"/>
    <col min="6913" max="6913" width="3.7109375" style="51" customWidth="1"/>
    <col min="6914" max="6915" width="10.7109375" style="51" customWidth="1"/>
    <col min="6916" max="6919" width="9.28515625" style="51" customWidth="1"/>
    <col min="6920" max="6920" width="14.5703125" style="51" customWidth="1"/>
    <col min="6921" max="6921" width="17.7109375" style="51" customWidth="1"/>
    <col min="6922" max="6922" width="19.7109375" style="51" customWidth="1"/>
    <col min="6923" max="7168" width="11.5703125" style="51"/>
    <col min="7169" max="7169" width="3.7109375" style="51" customWidth="1"/>
    <col min="7170" max="7171" width="10.7109375" style="51" customWidth="1"/>
    <col min="7172" max="7175" width="9.28515625" style="51" customWidth="1"/>
    <col min="7176" max="7176" width="14.5703125" style="51" customWidth="1"/>
    <col min="7177" max="7177" width="17.7109375" style="51" customWidth="1"/>
    <col min="7178" max="7178" width="19.7109375" style="51" customWidth="1"/>
    <col min="7179" max="7424" width="11.5703125" style="51"/>
    <col min="7425" max="7425" width="3.7109375" style="51" customWidth="1"/>
    <col min="7426" max="7427" width="10.7109375" style="51" customWidth="1"/>
    <col min="7428" max="7431" width="9.28515625" style="51" customWidth="1"/>
    <col min="7432" max="7432" width="14.5703125" style="51" customWidth="1"/>
    <col min="7433" max="7433" width="17.7109375" style="51" customWidth="1"/>
    <col min="7434" max="7434" width="19.7109375" style="51" customWidth="1"/>
    <col min="7435" max="7680" width="11.5703125" style="51"/>
    <col min="7681" max="7681" width="3.7109375" style="51" customWidth="1"/>
    <col min="7682" max="7683" width="10.7109375" style="51" customWidth="1"/>
    <col min="7684" max="7687" width="9.28515625" style="51" customWidth="1"/>
    <col min="7688" max="7688" width="14.5703125" style="51" customWidth="1"/>
    <col min="7689" max="7689" width="17.7109375" style="51" customWidth="1"/>
    <col min="7690" max="7690" width="19.7109375" style="51" customWidth="1"/>
    <col min="7691" max="7936" width="11.5703125" style="51"/>
    <col min="7937" max="7937" width="3.7109375" style="51" customWidth="1"/>
    <col min="7938" max="7939" width="10.7109375" style="51" customWidth="1"/>
    <col min="7940" max="7943" width="9.28515625" style="51" customWidth="1"/>
    <col min="7944" max="7944" width="14.5703125" style="51" customWidth="1"/>
    <col min="7945" max="7945" width="17.7109375" style="51" customWidth="1"/>
    <col min="7946" max="7946" width="19.7109375" style="51" customWidth="1"/>
    <col min="7947" max="8192" width="11.5703125" style="51"/>
    <col min="8193" max="8193" width="3.7109375" style="51" customWidth="1"/>
    <col min="8194" max="8195" width="10.7109375" style="51" customWidth="1"/>
    <col min="8196" max="8199" width="9.28515625" style="51" customWidth="1"/>
    <col min="8200" max="8200" width="14.5703125" style="51" customWidth="1"/>
    <col min="8201" max="8201" width="17.7109375" style="51" customWidth="1"/>
    <col min="8202" max="8202" width="19.7109375" style="51" customWidth="1"/>
    <col min="8203" max="8448" width="11.5703125" style="51"/>
    <col min="8449" max="8449" width="3.7109375" style="51" customWidth="1"/>
    <col min="8450" max="8451" width="10.7109375" style="51" customWidth="1"/>
    <col min="8452" max="8455" width="9.28515625" style="51" customWidth="1"/>
    <col min="8456" max="8456" width="14.5703125" style="51" customWidth="1"/>
    <col min="8457" max="8457" width="17.7109375" style="51" customWidth="1"/>
    <col min="8458" max="8458" width="19.7109375" style="51" customWidth="1"/>
    <col min="8459" max="8704" width="11.5703125" style="51"/>
    <col min="8705" max="8705" width="3.7109375" style="51" customWidth="1"/>
    <col min="8706" max="8707" width="10.7109375" style="51" customWidth="1"/>
    <col min="8708" max="8711" width="9.28515625" style="51" customWidth="1"/>
    <col min="8712" max="8712" width="14.5703125" style="51" customWidth="1"/>
    <col min="8713" max="8713" width="17.7109375" style="51" customWidth="1"/>
    <col min="8714" max="8714" width="19.7109375" style="51" customWidth="1"/>
    <col min="8715" max="8960" width="11.5703125" style="51"/>
    <col min="8961" max="8961" width="3.7109375" style="51" customWidth="1"/>
    <col min="8962" max="8963" width="10.7109375" style="51" customWidth="1"/>
    <col min="8964" max="8967" width="9.28515625" style="51" customWidth="1"/>
    <col min="8968" max="8968" width="14.5703125" style="51" customWidth="1"/>
    <col min="8969" max="8969" width="17.7109375" style="51" customWidth="1"/>
    <col min="8970" max="8970" width="19.7109375" style="51" customWidth="1"/>
    <col min="8971" max="9216" width="11.5703125" style="51"/>
    <col min="9217" max="9217" width="3.7109375" style="51" customWidth="1"/>
    <col min="9218" max="9219" width="10.7109375" style="51" customWidth="1"/>
    <col min="9220" max="9223" width="9.28515625" style="51" customWidth="1"/>
    <col min="9224" max="9224" width="14.5703125" style="51" customWidth="1"/>
    <col min="9225" max="9225" width="17.7109375" style="51" customWidth="1"/>
    <col min="9226" max="9226" width="19.7109375" style="51" customWidth="1"/>
    <col min="9227" max="9472" width="11.5703125" style="51"/>
    <col min="9473" max="9473" width="3.7109375" style="51" customWidth="1"/>
    <col min="9474" max="9475" width="10.7109375" style="51" customWidth="1"/>
    <col min="9476" max="9479" width="9.28515625" style="51" customWidth="1"/>
    <col min="9480" max="9480" width="14.5703125" style="51" customWidth="1"/>
    <col min="9481" max="9481" width="17.7109375" style="51" customWidth="1"/>
    <col min="9482" max="9482" width="19.7109375" style="51" customWidth="1"/>
    <col min="9483" max="9728" width="11.5703125" style="51"/>
    <col min="9729" max="9729" width="3.7109375" style="51" customWidth="1"/>
    <col min="9730" max="9731" width="10.7109375" style="51" customWidth="1"/>
    <col min="9732" max="9735" width="9.28515625" style="51" customWidth="1"/>
    <col min="9736" max="9736" width="14.5703125" style="51" customWidth="1"/>
    <col min="9737" max="9737" width="17.7109375" style="51" customWidth="1"/>
    <col min="9738" max="9738" width="19.7109375" style="51" customWidth="1"/>
    <col min="9739" max="9984" width="11.5703125" style="51"/>
    <col min="9985" max="9985" width="3.7109375" style="51" customWidth="1"/>
    <col min="9986" max="9987" width="10.7109375" style="51" customWidth="1"/>
    <col min="9988" max="9991" width="9.28515625" style="51" customWidth="1"/>
    <col min="9992" max="9992" width="14.5703125" style="51" customWidth="1"/>
    <col min="9993" max="9993" width="17.7109375" style="51" customWidth="1"/>
    <col min="9994" max="9994" width="19.7109375" style="51" customWidth="1"/>
    <col min="9995" max="10240" width="11.5703125" style="51"/>
    <col min="10241" max="10241" width="3.7109375" style="51" customWidth="1"/>
    <col min="10242" max="10243" width="10.7109375" style="51" customWidth="1"/>
    <col min="10244" max="10247" width="9.28515625" style="51" customWidth="1"/>
    <col min="10248" max="10248" width="14.5703125" style="51" customWidth="1"/>
    <col min="10249" max="10249" width="17.7109375" style="51" customWidth="1"/>
    <col min="10250" max="10250" width="19.7109375" style="51" customWidth="1"/>
    <col min="10251" max="10496" width="11.5703125" style="51"/>
    <col min="10497" max="10497" width="3.7109375" style="51" customWidth="1"/>
    <col min="10498" max="10499" width="10.7109375" style="51" customWidth="1"/>
    <col min="10500" max="10503" width="9.28515625" style="51" customWidth="1"/>
    <col min="10504" max="10504" width="14.5703125" style="51" customWidth="1"/>
    <col min="10505" max="10505" width="17.7109375" style="51" customWidth="1"/>
    <col min="10506" max="10506" width="19.7109375" style="51" customWidth="1"/>
    <col min="10507" max="10752" width="11.5703125" style="51"/>
    <col min="10753" max="10753" width="3.7109375" style="51" customWidth="1"/>
    <col min="10754" max="10755" width="10.7109375" style="51" customWidth="1"/>
    <col min="10756" max="10759" width="9.28515625" style="51" customWidth="1"/>
    <col min="10760" max="10760" width="14.5703125" style="51" customWidth="1"/>
    <col min="10761" max="10761" width="17.7109375" style="51" customWidth="1"/>
    <col min="10762" max="10762" width="19.7109375" style="51" customWidth="1"/>
    <col min="10763" max="11008" width="11.5703125" style="51"/>
    <col min="11009" max="11009" width="3.7109375" style="51" customWidth="1"/>
    <col min="11010" max="11011" width="10.7109375" style="51" customWidth="1"/>
    <col min="11012" max="11015" width="9.28515625" style="51" customWidth="1"/>
    <col min="11016" max="11016" width="14.5703125" style="51" customWidth="1"/>
    <col min="11017" max="11017" width="17.7109375" style="51" customWidth="1"/>
    <col min="11018" max="11018" width="19.7109375" style="51" customWidth="1"/>
    <col min="11019" max="11264" width="11.5703125" style="51"/>
    <col min="11265" max="11265" width="3.7109375" style="51" customWidth="1"/>
    <col min="11266" max="11267" width="10.7109375" style="51" customWidth="1"/>
    <col min="11268" max="11271" width="9.28515625" style="51" customWidth="1"/>
    <col min="11272" max="11272" width="14.5703125" style="51" customWidth="1"/>
    <col min="11273" max="11273" width="17.7109375" style="51" customWidth="1"/>
    <col min="11274" max="11274" width="19.7109375" style="51" customWidth="1"/>
    <col min="11275" max="11520" width="11.5703125" style="51"/>
    <col min="11521" max="11521" width="3.7109375" style="51" customWidth="1"/>
    <col min="11522" max="11523" width="10.7109375" style="51" customWidth="1"/>
    <col min="11524" max="11527" width="9.28515625" style="51" customWidth="1"/>
    <col min="11528" max="11528" width="14.5703125" style="51" customWidth="1"/>
    <col min="11529" max="11529" width="17.7109375" style="51" customWidth="1"/>
    <col min="11530" max="11530" width="19.7109375" style="51" customWidth="1"/>
    <col min="11531" max="11776" width="11.5703125" style="51"/>
    <col min="11777" max="11777" width="3.7109375" style="51" customWidth="1"/>
    <col min="11778" max="11779" width="10.7109375" style="51" customWidth="1"/>
    <col min="11780" max="11783" width="9.28515625" style="51" customWidth="1"/>
    <col min="11784" max="11784" width="14.5703125" style="51" customWidth="1"/>
    <col min="11785" max="11785" width="17.7109375" style="51" customWidth="1"/>
    <col min="11786" max="11786" width="19.7109375" style="51" customWidth="1"/>
    <col min="11787" max="12032" width="11.5703125" style="51"/>
    <col min="12033" max="12033" width="3.7109375" style="51" customWidth="1"/>
    <col min="12034" max="12035" width="10.7109375" style="51" customWidth="1"/>
    <col min="12036" max="12039" width="9.28515625" style="51" customWidth="1"/>
    <col min="12040" max="12040" width="14.5703125" style="51" customWidth="1"/>
    <col min="12041" max="12041" width="17.7109375" style="51" customWidth="1"/>
    <col min="12042" max="12042" width="19.7109375" style="51" customWidth="1"/>
    <col min="12043" max="12288" width="11.5703125" style="51"/>
    <col min="12289" max="12289" width="3.7109375" style="51" customWidth="1"/>
    <col min="12290" max="12291" width="10.7109375" style="51" customWidth="1"/>
    <col min="12292" max="12295" width="9.28515625" style="51" customWidth="1"/>
    <col min="12296" max="12296" width="14.5703125" style="51" customWidth="1"/>
    <col min="12297" max="12297" width="17.7109375" style="51" customWidth="1"/>
    <col min="12298" max="12298" width="19.7109375" style="51" customWidth="1"/>
    <col min="12299" max="12544" width="11.5703125" style="51"/>
    <col min="12545" max="12545" width="3.7109375" style="51" customWidth="1"/>
    <col min="12546" max="12547" width="10.7109375" style="51" customWidth="1"/>
    <col min="12548" max="12551" width="9.28515625" style="51" customWidth="1"/>
    <col min="12552" max="12552" width="14.5703125" style="51" customWidth="1"/>
    <col min="12553" max="12553" width="17.7109375" style="51" customWidth="1"/>
    <col min="12554" max="12554" width="19.7109375" style="51" customWidth="1"/>
    <col min="12555" max="12800" width="11.5703125" style="51"/>
    <col min="12801" max="12801" width="3.7109375" style="51" customWidth="1"/>
    <col min="12802" max="12803" width="10.7109375" style="51" customWidth="1"/>
    <col min="12804" max="12807" width="9.28515625" style="51" customWidth="1"/>
    <col min="12808" max="12808" width="14.5703125" style="51" customWidth="1"/>
    <col min="12809" max="12809" width="17.7109375" style="51" customWidth="1"/>
    <col min="12810" max="12810" width="19.7109375" style="51" customWidth="1"/>
    <col min="12811" max="13056" width="11.5703125" style="51"/>
    <col min="13057" max="13057" width="3.7109375" style="51" customWidth="1"/>
    <col min="13058" max="13059" width="10.7109375" style="51" customWidth="1"/>
    <col min="13060" max="13063" width="9.28515625" style="51" customWidth="1"/>
    <col min="13064" max="13064" width="14.5703125" style="51" customWidth="1"/>
    <col min="13065" max="13065" width="17.7109375" style="51" customWidth="1"/>
    <col min="13066" max="13066" width="19.7109375" style="51" customWidth="1"/>
    <col min="13067" max="13312" width="11.5703125" style="51"/>
    <col min="13313" max="13313" width="3.7109375" style="51" customWidth="1"/>
    <col min="13314" max="13315" width="10.7109375" style="51" customWidth="1"/>
    <col min="13316" max="13319" width="9.28515625" style="51" customWidth="1"/>
    <col min="13320" max="13320" width="14.5703125" style="51" customWidth="1"/>
    <col min="13321" max="13321" width="17.7109375" style="51" customWidth="1"/>
    <col min="13322" max="13322" width="19.7109375" style="51" customWidth="1"/>
    <col min="13323" max="13568" width="11.5703125" style="51"/>
    <col min="13569" max="13569" width="3.7109375" style="51" customWidth="1"/>
    <col min="13570" max="13571" width="10.7109375" style="51" customWidth="1"/>
    <col min="13572" max="13575" width="9.28515625" style="51" customWidth="1"/>
    <col min="13576" max="13576" width="14.5703125" style="51" customWidth="1"/>
    <col min="13577" max="13577" width="17.7109375" style="51" customWidth="1"/>
    <col min="13578" max="13578" width="19.7109375" style="51" customWidth="1"/>
    <col min="13579" max="13824" width="11.5703125" style="51"/>
    <col min="13825" max="13825" width="3.7109375" style="51" customWidth="1"/>
    <col min="13826" max="13827" width="10.7109375" style="51" customWidth="1"/>
    <col min="13828" max="13831" width="9.28515625" style="51" customWidth="1"/>
    <col min="13832" max="13832" width="14.5703125" style="51" customWidth="1"/>
    <col min="13833" max="13833" width="17.7109375" style="51" customWidth="1"/>
    <col min="13834" max="13834" width="19.7109375" style="51" customWidth="1"/>
    <col min="13835" max="14080" width="11.5703125" style="51"/>
    <col min="14081" max="14081" width="3.7109375" style="51" customWidth="1"/>
    <col min="14082" max="14083" width="10.7109375" style="51" customWidth="1"/>
    <col min="14084" max="14087" width="9.28515625" style="51" customWidth="1"/>
    <col min="14088" max="14088" width="14.5703125" style="51" customWidth="1"/>
    <col min="14089" max="14089" width="17.7109375" style="51" customWidth="1"/>
    <col min="14090" max="14090" width="19.7109375" style="51" customWidth="1"/>
    <col min="14091" max="14336" width="11.5703125" style="51"/>
    <col min="14337" max="14337" width="3.7109375" style="51" customWidth="1"/>
    <col min="14338" max="14339" width="10.7109375" style="51" customWidth="1"/>
    <col min="14340" max="14343" width="9.28515625" style="51" customWidth="1"/>
    <col min="14344" max="14344" width="14.5703125" style="51" customWidth="1"/>
    <col min="14345" max="14345" width="17.7109375" style="51" customWidth="1"/>
    <col min="14346" max="14346" width="19.7109375" style="51" customWidth="1"/>
    <col min="14347" max="14592" width="11.5703125" style="51"/>
    <col min="14593" max="14593" width="3.7109375" style="51" customWidth="1"/>
    <col min="14594" max="14595" width="10.7109375" style="51" customWidth="1"/>
    <col min="14596" max="14599" width="9.28515625" style="51" customWidth="1"/>
    <col min="14600" max="14600" width="14.5703125" style="51" customWidth="1"/>
    <col min="14601" max="14601" width="17.7109375" style="51" customWidth="1"/>
    <col min="14602" max="14602" width="19.7109375" style="51" customWidth="1"/>
    <col min="14603" max="14848" width="11.5703125" style="51"/>
    <col min="14849" max="14849" width="3.7109375" style="51" customWidth="1"/>
    <col min="14850" max="14851" width="10.7109375" style="51" customWidth="1"/>
    <col min="14852" max="14855" width="9.28515625" style="51" customWidth="1"/>
    <col min="14856" max="14856" width="14.5703125" style="51" customWidth="1"/>
    <col min="14857" max="14857" width="17.7109375" style="51" customWidth="1"/>
    <col min="14858" max="14858" width="19.7109375" style="51" customWidth="1"/>
    <col min="14859" max="15104" width="11.5703125" style="51"/>
    <col min="15105" max="15105" width="3.7109375" style="51" customWidth="1"/>
    <col min="15106" max="15107" width="10.7109375" style="51" customWidth="1"/>
    <col min="15108" max="15111" width="9.28515625" style="51" customWidth="1"/>
    <col min="15112" max="15112" width="14.5703125" style="51" customWidth="1"/>
    <col min="15113" max="15113" width="17.7109375" style="51" customWidth="1"/>
    <col min="15114" max="15114" width="19.7109375" style="51" customWidth="1"/>
    <col min="15115" max="15360" width="11.5703125" style="51"/>
    <col min="15361" max="15361" width="3.7109375" style="51" customWidth="1"/>
    <col min="15362" max="15363" width="10.7109375" style="51" customWidth="1"/>
    <col min="15364" max="15367" width="9.28515625" style="51" customWidth="1"/>
    <col min="15368" max="15368" width="14.5703125" style="51" customWidth="1"/>
    <col min="15369" max="15369" width="17.7109375" style="51" customWidth="1"/>
    <col min="15370" max="15370" width="19.7109375" style="51" customWidth="1"/>
    <col min="15371" max="15616" width="11.5703125" style="51"/>
    <col min="15617" max="15617" width="3.7109375" style="51" customWidth="1"/>
    <col min="15618" max="15619" width="10.7109375" style="51" customWidth="1"/>
    <col min="15620" max="15623" width="9.28515625" style="51" customWidth="1"/>
    <col min="15624" max="15624" width="14.5703125" style="51" customWidth="1"/>
    <col min="15625" max="15625" width="17.7109375" style="51" customWidth="1"/>
    <col min="15626" max="15626" width="19.7109375" style="51" customWidth="1"/>
    <col min="15627" max="15872" width="11.5703125" style="51"/>
    <col min="15873" max="15873" width="3.7109375" style="51" customWidth="1"/>
    <col min="15874" max="15875" width="10.7109375" style="51" customWidth="1"/>
    <col min="15876" max="15879" width="9.28515625" style="51" customWidth="1"/>
    <col min="15880" max="15880" width="14.5703125" style="51" customWidth="1"/>
    <col min="15881" max="15881" width="17.7109375" style="51" customWidth="1"/>
    <col min="15882" max="15882" width="19.7109375" style="51" customWidth="1"/>
    <col min="15883" max="16128" width="11.5703125" style="51"/>
    <col min="16129" max="16129" width="3.7109375" style="51" customWidth="1"/>
    <col min="16130" max="16131" width="10.7109375" style="51" customWidth="1"/>
    <col min="16132" max="16135" width="9.28515625" style="51" customWidth="1"/>
    <col min="16136" max="16136" width="14.5703125" style="51" customWidth="1"/>
    <col min="16137" max="16137" width="17.7109375" style="51" customWidth="1"/>
    <col min="16138" max="16138" width="19.7109375" style="51" customWidth="1"/>
    <col min="16139" max="16384" width="11.5703125" style="51"/>
  </cols>
  <sheetData>
    <row r="1" spans="1:256" ht="12.75" customHeight="1" x14ac:dyDescent="0.2">
      <c r="C1" s="199" t="s">
        <v>455</v>
      </c>
      <c r="D1" s="199"/>
      <c r="E1" s="199"/>
      <c r="F1" s="199"/>
      <c r="G1" s="199"/>
      <c r="H1" s="199"/>
      <c r="I1" s="199"/>
    </row>
    <row r="2" spans="1:256" x14ac:dyDescent="0.2">
      <c r="F2" s="51"/>
      <c r="G2" s="51"/>
      <c r="H2" s="51"/>
      <c r="I2" s="51"/>
    </row>
    <row r="3" spans="1:256" x14ac:dyDescent="0.2">
      <c r="F3" s="51"/>
      <c r="G3" s="51"/>
      <c r="H3" s="51"/>
      <c r="I3" s="51"/>
    </row>
    <row r="4" spans="1:256" s="52" customFormat="1" ht="15.75" x14ac:dyDescent="0.25">
      <c r="A4" s="92" t="s">
        <v>230</v>
      </c>
      <c r="B4" s="93"/>
      <c r="C4" s="94"/>
      <c r="G4" s="92" t="s">
        <v>231</v>
      </c>
      <c r="H4"/>
    </row>
    <row r="5" spans="1:256" s="52" customFormat="1" ht="15.75" x14ac:dyDescent="0.25">
      <c r="A5" s="95" t="s">
        <v>232</v>
      </c>
      <c r="B5" s="96"/>
      <c r="C5" s="94"/>
      <c r="G5" s="95" t="s">
        <v>233</v>
      </c>
      <c r="H5"/>
    </row>
    <row r="6" spans="1:256" s="52" customFormat="1" ht="15.75" x14ac:dyDescent="0.25">
      <c r="A6" s="97" t="s">
        <v>4</v>
      </c>
      <c r="B6" s="98"/>
      <c r="C6" s="20"/>
      <c r="G6" s="97" t="s">
        <v>183</v>
      </c>
      <c r="H6" s="99"/>
    </row>
    <row r="7" spans="1:256" s="52" customFormat="1" ht="15.75" x14ac:dyDescent="0.25">
      <c r="A7" s="97" t="s">
        <v>235</v>
      </c>
      <c r="B7" s="98"/>
      <c r="C7" s="100"/>
      <c r="G7" s="97" t="s">
        <v>5</v>
      </c>
      <c r="H7" s="101"/>
    </row>
    <row r="8" spans="1:256" s="52" customFormat="1" ht="15.75" x14ac:dyDescent="0.25">
      <c r="A8"/>
      <c r="B8" s="102"/>
      <c r="C8"/>
      <c r="G8" s="97"/>
      <c r="H8" s="99"/>
    </row>
    <row r="9" spans="1:256" s="52" customFormat="1" ht="15.75" x14ac:dyDescent="0.25">
      <c r="A9" s="97" t="s">
        <v>236</v>
      </c>
      <c r="B9" s="98"/>
      <c r="C9" s="1"/>
      <c r="G9" s="97" t="s">
        <v>237</v>
      </c>
      <c r="H9" s="99"/>
    </row>
    <row r="10" spans="1:256" s="52" customFormat="1" ht="15.75" x14ac:dyDescent="0.25">
      <c r="A10" s="97" t="s">
        <v>456</v>
      </c>
      <c r="B10" s="98"/>
      <c r="C10" s="1"/>
      <c r="G10" s="97" t="s">
        <v>456</v>
      </c>
      <c r="H10" s="98"/>
      <c r="I10" s="54"/>
    </row>
    <row r="11" spans="1:256" s="52" customFormat="1" ht="11.25" customHeight="1" x14ac:dyDescent="0.25">
      <c r="A11" s="2"/>
      <c r="D11" s="53"/>
      <c r="E11" s="54"/>
    </row>
    <row r="12" spans="1:256" ht="15.75" x14ac:dyDescent="0.2">
      <c r="A12" s="200" t="s">
        <v>187</v>
      </c>
      <c r="B12" s="200"/>
      <c r="C12" s="200"/>
      <c r="D12" s="200"/>
      <c r="E12" s="200"/>
      <c r="F12" s="200"/>
      <c r="G12" s="200"/>
      <c r="H12" s="200"/>
      <c r="I12" s="200"/>
    </row>
    <row r="13" spans="1:256" ht="15.75" customHeight="1" x14ac:dyDescent="0.2">
      <c r="A13" s="201" t="s">
        <v>159</v>
      </c>
      <c r="B13" s="202"/>
      <c r="C13" s="202"/>
      <c r="D13" s="202"/>
      <c r="E13" s="202"/>
      <c r="F13" s="202"/>
      <c r="G13" s="202"/>
      <c r="H13" s="202"/>
      <c r="I13" s="202"/>
    </row>
    <row r="14" spans="1:256" x14ac:dyDescent="0.2">
      <c r="A14" s="55"/>
      <c r="B14" s="56"/>
      <c r="C14" s="57"/>
      <c r="D14" s="57"/>
      <c r="E14" s="57"/>
      <c r="F14" s="56"/>
      <c r="G14" s="56"/>
      <c r="H14" s="56"/>
      <c r="I14" s="56"/>
      <c r="J14" s="56"/>
      <c r="K14" s="56"/>
      <c r="L14" s="56"/>
      <c r="M14" s="56"/>
      <c r="N14" s="56"/>
      <c r="O14" s="56"/>
      <c r="P14" s="56"/>
      <c r="Q14" s="56"/>
      <c r="R14" s="56"/>
      <c r="S14" s="56"/>
      <c r="T14" s="56"/>
      <c r="U14" s="56"/>
      <c r="V14" s="56"/>
      <c r="W14" s="56"/>
      <c r="X14" s="56"/>
      <c r="Y14" s="56"/>
      <c r="Z14" s="56"/>
      <c r="AA14" s="56"/>
      <c r="AB14" s="56"/>
      <c r="AC14" s="56"/>
      <c r="AD14" s="56"/>
      <c r="AE14" s="56"/>
      <c r="AF14" s="56"/>
      <c r="AG14" s="56"/>
      <c r="AH14" s="56"/>
      <c r="AI14" s="56"/>
      <c r="AJ14" s="56"/>
      <c r="AK14" s="56"/>
      <c r="AL14" s="56"/>
      <c r="AM14" s="56"/>
      <c r="AN14" s="56"/>
      <c r="AO14" s="56"/>
      <c r="AP14" s="56"/>
      <c r="AQ14" s="56"/>
      <c r="AR14" s="56"/>
      <c r="AS14" s="56"/>
      <c r="AT14" s="56"/>
      <c r="AU14" s="56"/>
      <c r="AV14" s="56"/>
      <c r="AW14" s="56"/>
      <c r="AX14" s="56"/>
      <c r="AY14" s="56"/>
      <c r="AZ14" s="56"/>
      <c r="BA14" s="56"/>
      <c r="BB14" s="56"/>
      <c r="BC14" s="56"/>
      <c r="BD14" s="56"/>
      <c r="BE14" s="56"/>
      <c r="BF14" s="56"/>
      <c r="BG14" s="56"/>
      <c r="BH14" s="56"/>
      <c r="BI14" s="56"/>
      <c r="BJ14" s="56"/>
      <c r="BK14" s="56"/>
      <c r="BL14" s="56"/>
      <c r="BM14" s="56"/>
      <c r="BN14" s="56"/>
      <c r="BO14" s="56"/>
      <c r="BP14" s="56"/>
      <c r="BQ14" s="56"/>
      <c r="BR14" s="56"/>
      <c r="BS14" s="56"/>
      <c r="BT14" s="56"/>
      <c r="BU14" s="56"/>
      <c r="BV14" s="56"/>
      <c r="BW14" s="56"/>
      <c r="BX14" s="56"/>
      <c r="BY14" s="56"/>
      <c r="BZ14" s="56"/>
      <c r="CA14" s="56"/>
      <c r="CB14" s="56"/>
      <c r="CC14" s="56"/>
      <c r="CD14" s="56"/>
      <c r="CE14" s="56"/>
      <c r="CF14" s="56"/>
      <c r="CG14" s="56"/>
      <c r="CH14" s="56"/>
      <c r="CI14" s="56"/>
      <c r="CJ14" s="56"/>
      <c r="CK14" s="56"/>
      <c r="CL14" s="56"/>
      <c r="CM14" s="56"/>
      <c r="CN14" s="56"/>
      <c r="CO14" s="56"/>
      <c r="CP14" s="56"/>
      <c r="CQ14" s="56"/>
      <c r="CR14" s="56"/>
      <c r="CS14" s="56"/>
      <c r="CT14" s="56"/>
      <c r="CU14" s="56"/>
      <c r="CV14" s="56"/>
      <c r="CW14" s="56"/>
      <c r="CX14" s="56"/>
      <c r="CY14" s="56"/>
      <c r="CZ14" s="56"/>
      <c r="DA14" s="56"/>
      <c r="DB14" s="56"/>
      <c r="DC14" s="56"/>
      <c r="DD14" s="56"/>
      <c r="DE14" s="56"/>
      <c r="DF14" s="56"/>
      <c r="DG14" s="56"/>
      <c r="DH14" s="56"/>
      <c r="DI14" s="56"/>
      <c r="DJ14" s="56"/>
      <c r="DK14" s="56"/>
      <c r="DL14" s="56"/>
      <c r="DM14" s="56"/>
      <c r="DN14" s="56"/>
      <c r="DO14" s="56"/>
      <c r="DP14" s="56"/>
      <c r="DQ14" s="56"/>
      <c r="DR14" s="56"/>
      <c r="DS14" s="56"/>
      <c r="DT14" s="56"/>
      <c r="DU14" s="56"/>
      <c r="DV14" s="56"/>
      <c r="DW14" s="56"/>
      <c r="DX14" s="56"/>
      <c r="DY14" s="56"/>
      <c r="DZ14" s="56"/>
      <c r="EA14" s="56"/>
      <c r="EB14" s="56"/>
      <c r="EC14" s="56"/>
      <c r="ED14" s="56"/>
      <c r="EE14" s="56"/>
      <c r="EF14" s="56"/>
      <c r="EG14" s="56"/>
      <c r="EH14" s="56"/>
      <c r="EI14" s="56"/>
      <c r="EJ14" s="56"/>
      <c r="EK14" s="56"/>
      <c r="EL14" s="56"/>
      <c r="EM14" s="56"/>
      <c r="EN14" s="56"/>
      <c r="EO14" s="56"/>
      <c r="EP14" s="56"/>
      <c r="EQ14" s="56"/>
      <c r="ER14" s="56"/>
      <c r="ES14" s="56"/>
      <c r="ET14" s="56"/>
      <c r="EU14" s="56"/>
      <c r="EV14" s="56"/>
      <c r="EW14" s="56"/>
      <c r="EX14" s="56"/>
      <c r="EY14" s="56"/>
      <c r="EZ14" s="56"/>
      <c r="FA14" s="56"/>
      <c r="FB14" s="56"/>
      <c r="FC14" s="56"/>
      <c r="FD14" s="56"/>
      <c r="FE14" s="56"/>
      <c r="FF14" s="56"/>
      <c r="FG14" s="56"/>
      <c r="FH14" s="56"/>
      <c r="FI14" s="56"/>
      <c r="FJ14" s="56"/>
      <c r="FK14" s="56"/>
      <c r="FL14" s="56"/>
      <c r="FM14" s="56"/>
      <c r="FN14" s="56"/>
      <c r="FO14" s="56"/>
      <c r="FP14" s="56"/>
      <c r="FQ14" s="56"/>
      <c r="FR14" s="56"/>
      <c r="FS14" s="56"/>
      <c r="FT14" s="56"/>
      <c r="FU14" s="56"/>
      <c r="FV14" s="56"/>
      <c r="FW14" s="56"/>
      <c r="FX14" s="56"/>
      <c r="FY14" s="56"/>
      <c r="FZ14" s="56"/>
      <c r="GA14" s="56"/>
      <c r="GB14" s="56"/>
      <c r="GC14" s="56"/>
      <c r="GD14" s="56"/>
      <c r="GE14" s="56"/>
      <c r="GF14" s="56"/>
      <c r="GG14" s="56"/>
      <c r="GH14" s="56"/>
      <c r="GI14" s="56"/>
      <c r="GJ14" s="56"/>
      <c r="GK14" s="56"/>
      <c r="GL14" s="56"/>
      <c r="GM14" s="56"/>
      <c r="GN14" s="56"/>
      <c r="GO14" s="56"/>
      <c r="GP14" s="56"/>
      <c r="GQ14" s="56"/>
      <c r="GR14" s="56"/>
      <c r="GS14" s="56"/>
      <c r="GT14" s="56"/>
      <c r="GU14" s="56"/>
      <c r="GV14" s="56"/>
      <c r="GW14" s="56"/>
      <c r="GX14" s="56"/>
      <c r="GY14" s="56"/>
      <c r="GZ14" s="56"/>
      <c r="HA14" s="56"/>
      <c r="HB14" s="56"/>
      <c r="HC14" s="56"/>
      <c r="HD14" s="56"/>
      <c r="HE14" s="56"/>
      <c r="HF14" s="56"/>
      <c r="HG14" s="56"/>
      <c r="HH14" s="56"/>
      <c r="HI14" s="56"/>
      <c r="HJ14" s="56"/>
      <c r="HK14" s="56"/>
      <c r="HL14" s="56"/>
      <c r="HM14" s="56"/>
      <c r="HN14" s="56"/>
      <c r="HO14" s="56"/>
      <c r="HP14" s="56"/>
      <c r="HQ14" s="56"/>
      <c r="HR14" s="56"/>
      <c r="HS14" s="56"/>
      <c r="HT14" s="56"/>
      <c r="HU14" s="56"/>
      <c r="HV14" s="56"/>
      <c r="HW14" s="56"/>
      <c r="HX14" s="56"/>
      <c r="HY14" s="56"/>
      <c r="HZ14" s="56"/>
      <c r="IA14" s="56"/>
      <c r="IB14" s="56"/>
      <c r="IC14" s="56"/>
      <c r="ID14" s="56"/>
      <c r="IE14" s="56"/>
      <c r="IF14" s="56"/>
      <c r="IG14" s="56"/>
      <c r="IH14" s="56"/>
      <c r="II14" s="56"/>
      <c r="IJ14" s="56"/>
      <c r="IK14" s="56"/>
      <c r="IL14" s="56"/>
      <c r="IM14" s="56"/>
      <c r="IN14" s="56"/>
      <c r="IO14" s="56"/>
      <c r="IP14" s="56"/>
      <c r="IQ14" s="56"/>
      <c r="IR14" s="56"/>
      <c r="IS14" s="56"/>
      <c r="IT14" s="56"/>
      <c r="IU14" s="56"/>
      <c r="IV14" s="56"/>
    </row>
    <row r="15" spans="1:256" ht="64.5" customHeight="1" x14ac:dyDescent="0.25">
      <c r="A15" s="203" t="s">
        <v>461</v>
      </c>
      <c r="B15" s="203"/>
      <c r="C15" s="203"/>
      <c r="D15" s="203"/>
      <c r="E15" s="203"/>
      <c r="F15" s="203"/>
      <c r="G15" s="203"/>
      <c r="H15" s="203"/>
      <c r="I15" s="203"/>
      <c r="J15" s="58"/>
      <c r="K15" s="56"/>
      <c r="L15" s="56"/>
      <c r="M15" s="56"/>
      <c r="N15" s="56"/>
      <c r="O15" s="56"/>
      <c r="P15" s="56"/>
      <c r="Q15" s="56"/>
      <c r="R15" s="56"/>
      <c r="S15" s="56"/>
      <c r="T15" s="56"/>
      <c r="U15" s="56"/>
      <c r="V15" s="56"/>
      <c r="W15" s="56"/>
      <c r="X15" s="56"/>
      <c r="Y15" s="56"/>
      <c r="Z15" s="56"/>
      <c r="AA15" s="56"/>
      <c r="AB15" s="56"/>
      <c r="AC15" s="56"/>
      <c r="AD15" s="56"/>
      <c r="AE15" s="56"/>
      <c r="AF15" s="56"/>
      <c r="AG15" s="56"/>
      <c r="AH15" s="56"/>
      <c r="AI15" s="56"/>
      <c r="AJ15" s="56"/>
      <c r="AK15" s="56"/>
      <c r="AL15" s="56"/>
      <c r="AM15" s="56"/>
      <c r="AN15" s="56"/>
      <c r="AO15" s="56"/>
      <c r="AP15" s="56"/>
      <c r="AQ15" s="56"/>
      <c r="AR15" s="56"/>
      <c r="AS15" s="56"/>
      <c r="AT15" s="56"/>
      <c r="AU15" s="56"/>
      <c r="AV15" s="56"/>
      <c r="AW15" s="56"/>
      <c r="AX15" s="56"/>
      <c r="AY15" s="56"/>
      <c r="AZ15" s="56"/>
      <c r="BA15" s="56"/>
      <c r="BB15" s="56"/>
      <c r="BC15" s="56"/>
      <c r="BD15" s="56"/>
      <c r="BE15" s="56"/>
      <c r="BF15" s="56"/>
      <c r="BG15" s="56"/>
      <c r="BH15" s="56"/>
      <c r="BI15" s="56"/>
      <c r="BJ15" s="56"/>
      <c r="BK15" s="56"/>
      <c r="BL15" s="56"/>
      <c r="BM15" s="56"/>
      <c r="BN15" s="56"/>
      <c r="BO15" s="56"/>
      <c r="BP15" s="56"/>
      <c r="BQ15" s="56"/>
      <c r="BR15" s="56"/>
      <c r="BS15" s="56"/>
      <c r="BT15" s="56"/>
      <c r="BU15" s="56"/>
      <c r="BV15" s="56"/>
      <c r="BW15" s="56"/>
      <c r="BX15" s="56"/>
      <c r="BY15" s="56"/>
      <c r="BZ15" s="56"/>
      <c r="CA15" s="56"/>
      <c r="CB15" s="56"/>
      <c r="CC15" s="56"/>
      <c r="CD15" s="56"/>
      <c r="CE15" s="56"/>
      <c r="CF15" s="56"/>
      <c r="CG15" s="56"/>
      <c r="CH15" s="56"/>
      <c r="CI15" s="56"/>
      <c r="CJ15" s="56"/>
      <c r="CK15" s="56"/>
      <c r="CL15" s="56"/>
      <c r="CM15" s="56"/>
      <c r="CN15" s="56"/>
      <c r="CO15" s="56"/>
      <c r="CP15" s="56"/>
      <c r="CQ15" s="56"/>
      <c r="CR15" s="56"/>
      <c r="CS15" s="56"/>
      <c r="CT15" s="56"/>
      <c r="CU15" s="56"/>
      <c r="CV15" s="56"/>
      <c r="CW15" s="56"/>
      <c r="CX15" s="56"/>
      <c r="CY15" s="56"/>
      <c r="CZ15" s="56"/>
      <c r="DA15" s="56"/>
      <c r="DB15" s="56"/>
      <c r="DC15" s="56"/>
      <c r="DD15" s="56"/>
      <c r="DE15" s="56"/>
      <c r="DF15" s="56"/>
      <c r="DG15" s="56"/>
      <c r="DH15" s="56"/>
      <c r="DI15" s="56"/>
      <c r="DJ15" s="56"/>
      <c r="DK15" s="56"/>
      <c r="DL15" s="56"/>
      <c r="DM15" s="56"/>
      <c r="DN15" s="56"/>
      <c r="DO15" s="56"/>
      <c r="DP15" s="56"/>
      <c r="DQ15" s="56"/>
      <c r="DR15" s="56"/>
      <c r="DS15" s="56"/>
      <c r="DT15" s="56"/>
      <c r="DU15" s="56"/>
      <c r="DV15" s="56"/>
      <c r="DW15" s="56"/>
      <c r="DX15" s="56"/>
      <c r="DY15" s="56"/>
      <c r="DZ15" s="56"/>
      <c r="EA15" s="56"/>
      <c r="EB15" s="56"/>
      <c r="EC15" s="56"/>
      <c r="ED15" s="56"/>
      <c r="EE15" s="56"/>
      <c r="EF15" s="56"/>
      <c r="EG15" s="56"/>
      <c r="EH15" s="56"/>
      <c r="EI15" s="56"/>
      <c r="EJ15" s="56"/>
      <c r="EK15" s="56"/>
      <c r="EL15" s="56"/>
      <c r="EM15" s="56"/>
      <c r="EN15" s="56"/>
      <c r="EO15" s="56"/>
      <c r="EP15" s="56"/>
      <c r="EQ15" s="56"/>
      <c r="ER15" s="56"/>
      <c r="ES15" s="56"/>
      <c r="ET15" s="56"/>
      <c r="EU15" s="56"/>
      <c r="EV15" s="56"/>
      <c r="EW15" s="56"/>
      <c r="EX15" s="56"/>
      <c r="EY15" s="56"/>
      <c r="EZ15" s="56"/>
      <c r="FA15" s="56"/>
      <c r="FB15" s="56"/>
      <c r="FC15" s="56"/>
      <c r="FD15" s="56"/>
      <c r="FE15" s="56"/>
      <c r="FF15" s="56"/>
      <c r="FG15" s="56"/>
      <c r="FH15" s="56"/>
      <c r="FI15" s="56"/>
      <c r="FJ15" s="56"/>
      <c r="FK15" s="56"/>
      <c r="FL15" s="56"/>
      <c r="FM15" s="56"/>
      <c r="FN15" s="56"/>
      <c r="FO15" s="56"/>
      <c r="FP15" s="56"/>
      <c r="FQ15" s="56"/>
      <c r="FR15" s="56"/>
      <c r="FS15" s="56"/>
      <c r="FT15" s="56"/>
      <c r="FU15" s="56"/>
      <c r="FV15" s="56"/>
      <c r="FW15" s="56"/>
      <c r="FX15" s="56"/>
      <c r="FY15" s="56"/>
      <c r="FZ15" s="56"/>
      <c r="GA15" s="56"/>
      <c r="GB15" s="56"/>
      <c r="GC15" s="56"/>
      <c r="GD15" s="56"/>
      <c r="GE15" s="56"/>
      <c r="GF15" s="56"/>
      <c r="GG15" s="56"/>
      <c r="GH15" s="56"/>
      <c r="GI15" s="56"/>
      <c r="GJ15" s="56"/>
      <c r="GK15" s="56"/>
      <c r="GL15" s="56"/>
      <c r="GM15" s="56"/>
      <c r="GN15" s="56"/>
      <c r="GO15" s="56"/>
      <c r="GP15" s="56"/>
      <c r="GQ15" s="56"/>
      <c r="GR15" s="56"/>
      <c r="GS15" s="56"/>
      <c r="GT15" s="56"/>
      <c r="GU15" s="56"/>
      <c r="GV15" s="56"/>
      <c r="GW15" s="56"/>
      <c r="GX15" s="56"/>
      <c r="GY15" s="56"/>
      <c r="GZ15" s="56"/>
      <c r="HA15" s="56"/>
      <c r="HB15" s="56"/>
      <c r="HC15" s="56"/>
      <c r="HD15" s="56"/>
      <c r="HE15" s="56"/>
      <c r="HF15" s="56"/>
      <c r="HG15" s="56"/>
      <c r="HH15" s="56"/>
      <c r="HI15" s="56"/>
      <c r="HJ15" s="56"/>
      <c r="HK15" s="56"/>
      <c r="HL15" s="56"/>
      <c r="HM15" s="56"/>
      <c r="HN15" s="56"/>
      <c r="HO15" s="56"/>
      <c r="HP15" s="56"/>
      <c r="HQ15" s="56"/>
      <c r="HR15" s="56"/>
      <c r="HS15" s="56"/>
      <c r="HT15" s="56"/>
      <c r="HU15" s="56"/>
      <c r="HV15" s="56"/>
      <c r="HW15" s="56"/>
      <c r="HX15" s="56"/>
      <c r="HY15" s="56"/>
      <c r="HZ15" s="56"/>
      <c r="IA15" s="56"/>
      <c r="IB15" s="56"/>
      <c r="IC15" s="56"/>
      <c r="ID15" s="56"/>
      <c r="IE15" s="56"/>
      <c r="IF15" s="56"/>
      <c r="IG15" s="56"/>
      <c r="IH15" s="56"/>
      <c r="II15" s="56"/>
      <c r="IJ15" s="56"/>
      <c r="IK15" s="56"/>
      <c r="IL15" s="56"/>
      <c r="IM15" s="56"/>
      <c r="IN15" s="56"/>
      <c r="IO15" s="56"/>
      <c r="IP15" s="56"/>
      <c r="IQ15" s="56"/>
      <c r="IR15" s="56"/>
      <c r="IS15" s="56"/>
      <c r="IT15" s="56"/>
      <c r="IU15" s="56"/>
      <c r="IV15" s="56"/>
    </row>
    <row r="16" spans="1:256" ht="9.75" customHeight="1" x14ac:dyDescent="0.25">
      <c r="A16" s="59"/>
      <c r="B16" s="59"/>
      <c r="C16" s="59"/>
      <c r="D16" s="59"/>
      <c r="E16" s="59"/>
      <c r="F16" s="59"/>
      <c r="G16" s="59"/>
      <c r="H16" s="59"/>
      <c r="I16" s="59"/>
      <c r="J16" s="58"/>
      <c r="K16" s="56"/>
      <c r="L16" s="56"/>
      <c r="M16" s="56"/>
      <c r="N16" s="56"/>
      <c r="O16" s="56"/>
      <c r="P16" s="56"/>
      <c r="Q16" s="56"/>
      <c r="R16" s="56"/>
      <c r="S16" s="56"/>
      <c r="T16" s="56"/>
      <c r="U16" s="56"/>
      <c r="V16" s="56"/>
      <c r="W16" s="56"/>
      <c r="X16" s="56"/>
      <c r="Y16" s="56"/>
      <c r="Z16" s="56"/>
      <c r="AA16" s="56"/>
      <c r="AB16" s="56"/>
      <c r="AC16" s="56"/>
      <c r="AD16" s="56"/>
      <c r="AE16" s="56"/>
      <c r="AF16" s="56"/>
      <c r="AG16" s="56"/>
      <c r="AH16" s="56"/>
      <c r="AI16" s="56"/>
      <c r="AJ16" s="56"/>
      <c r="AK16" s="56"/>
      <c r="AL16" s="56"/>
      <c r="AM16" s="56"/>
      <c r="AN16" s="56"/>
      <c r="AO16" s="56"/>
      <c r="AP16" s="56"/>
      <c r="AQ16" s="56"/>
      <c r="AR16" s="56"/>
      <c r="AS16" s="56"/>
      <c r="AT16" s="56"/>
      <c r="AU16" s="56"/>
      <c r="AV16" s="56"/>
      <c r="AW16" s="56"/>
      <c r="AX16" s="56"/>
      <c r="AY16" s="56"/>
      <c r="AZ16" s="56"/>
      <c r="BA16" s="56"/>
      <c r="BB16" s="56"/>
      <c r="BC16" s="56"/>
      <c r="BD16" s="56"/>
      <c r="BE16" s="56"/>
      <c r="BF16" s="56"/>
      <c r="BG16" s="56"/>
      <c r="BH16" s="56"/>
      <c r="BI16" s="56"/>
      <c r="BJ16" s="56"/>
      <c r="BK16" s="56"/>
      <c r="BL16" s="56"/>
      <c r="BM16" s="56"/>
      <c r="BN16" s="56"/>
      <c r="BO16" s="56"/>
      <c r="BP16" s="56"/>
      <c r="BQ16" s="56"/>
      <c r="BR16" s="56"/>
      <c r="BS16" s="56"/>
      <c r="BT16" s="56"/>
      <c r="BU16" s="56"/>
      <c r="BV16" s="56"/>
      <c r="BW16" s="56"/>
      <c r="BX16" s="56"/>
      <c r="BY16" s="56"/>
      <c r="BZ16" s="56"/>
      <c r="CA16" s="56"/>
      <c r="CB16" s="56"/>
      <c r="CC16" s="56"/>
      <c r="CD16" s="56"/>
      <c r="CE16" s="56"/>
      <c r="CF16" s="56"/>
      <c r="CG16" s="56"/>
      <c r="CH16" s="56"/>
      <c r="CI16" s="56"/>
      <c r="CJ16" s="56"/>
      <c r="CK16" s="56"/>
      <c r="CL16" s="56"/>
      <c r="CM16" s="56"/>
      <c r="CN16" s="56"/>
      <c r="CO16" s="56"/>
      <c r="CP16" s="56"/>
      <c r="CQ16" s="56"/>
      <c r="CR16" s="56"/>
      <c r="CS16" s="56"/>
      <c r="CT16" s="56"/>
      <c r="CU16" s="56"/>
      <c r="CV16" s="56"/>
      <c r="CW16" s="56"/>
      <c r="CX16" s="56"/>
      <c r="CY16" s="56"/>
      <c r="CZ16" s="56"/>
      <c r="DA16" s="56"/>
      <c r="DB16" s="56"/>
      <c r="DC16" s="56"/>
      <c r="DD16" s="56"/>
      <c r="DE16" s="56"/>
      <c r="DF16" s="56"/>
      <c r="DG16" s="56"/>
      <c r="DH16" s="56"/>
      <c r="DI16" s="56"/>
      <c r="DJ16" s="56"/>
      <c r="DK16" s="56"/>
      <c r="DL16" s="56"/>
      <c r="DM16" s="56"/>
      <c r="DN16" s="56"/>
      <c r="DO16" s="56"/>
      <c r="DP16" s="56"/>
      <c r="DQ16" s="56"/>
      <c r="DR16" s="56"/>
      <c r="DS16" s="56"/>
      <c r="DT16" s="56"/>
      <c r="DU16" s="56"/>
      <c r="DV16" s="56"/>
      <c r="DW16" s="56"/>
      <c r="DX16" s="56"/>
      <c r="DY16" s="56"/>
      <c r="DZ16" s="56"/>
      <c r="EA16" s="56"/>
      <c r="EB16" s="56"/>
      <c r="EC16" s="56"/>
      <c r="ED16" s="56"/>
      <c r="EE16" s="56"/>
      <c r="EF16" s="56"/>
      <c r="EG16" s="56"/>
      <c r="EH16" s="56"/>
      <c r="EI16" s="56"/>
      <c r="EJ16" s="56"/>
      <c r="EK16" s="56"/>
      <c r="EL16" s="56"/>
      <c r="EM16" s="56"/>
      <c r="EN16" s="56"/>
      <c r="EO16" s="56"/>
      <c r="EP16" s="56"/>
      <c r="EQ16" s="56"/>
      <c r="ER16" s="56"/>
      <c r="ES16" s="56"/>
      <c r="ET16" s="56"/>
      <c r="EU16" s="56"/>
      <c r="EV16" s="56"/>
      <c r="EW16" s="56"/>
      <c r="EX16" s="56"/>
      <c r="EY16" s="56"/>
      <c r="EZ16" s="56"/>
      <c r="FA16" s="56"/>
      <c r="FB16" s="56"/>
      <c r="FC16" s="56"/>
      <c r="FD16" s="56"/>
      <c r="FE16" s="56"/>
      <c r="FF16" s="56"/>
      <c r="FG16" s="56"/>
      <c r="FH16" s="56"/>
      <c r="FI16" s="56"/>
      <c r="FJ16" s="56"/>
      <c r="FK16" s="56"/>
      <c r="FL16" s="56"/>
      <c r="FM16" s="56"/>
      <c r="FN16" s="56"/>
      <c r="FO16" s="56"/>
      <c r="FP16" s="56"/>
      <c r="FQ16" s="56"/>
      <c r="FR16" s="56"/>
      <c r="FS16" s="56"/>
      <c r="FT16" s="56"/>
      <c r="FU16" s="56"/>
      <c r="FV16" s="56"/>
      <c r="FW16" s="56"/>
      <c r="FX16" s="56"/>
      <c r="FY16" s="56"/>
      <c r="FZ16" s="56"/>
      <c r="GA16" s="56"/>
      <c r="GB16" s="56"/>
      <c r="GC16" s="56"/>
      <c r="GD16" s="56"/>
      <c r="GE16" s="56"/>
      <c r="GF16" s="56"/>
      <c r="GG16" s="56"/>
      <c r="GH16" s="56"/>
      <c r="GI16" s="56"/>
      <c r="GJ16" s="56"/>
      <c r="GK16" s="56"/>
      <c r="GL16" s="56"/>
      <c r="GM16" s="56"/>
      <c r="GN16" s="56"/>
      <c r="GO16" s="56"/>
      <c r="GP16" s="56"/>
      <c r="GQ16" s="56"/>
      <c r="GR16" s="56"/>
      <c r="GS16" s="56"/>
      <c r="GT16" s="56"/>
      <c r="GU16" s="56"/>
      <c r="GV16" s="56"/>
      <c r="GW16" s="56"/>
      <c r="GX16" s="56"/>
      <c r="GY16" s="56"/>
      <c r="GZ16" s="56"/>
      <c r="HA16" s="56"/>
      <c r="HB16" s="56"/>
      <c r="HC16" s="56"/>
      <c r="HD16" s="56"/>
      <c r="HE16" s="56"/>
      <c r="HF16" s="56"/>
      <c r="HG16" s="56"/>
      <c r="HH16" s="56"/>
      <c r="HI16" s="56"/>
      <c r="HJ16" s="56"/>
      <c r="HK16" s="56"/>
      <c r="HL16" s="56"/>
      <c r="HM16" s="56"/>
      <c r="HN16" s="56"/>
      <c r="HO16" s="56"/>
      <c r="HP16" s="56"/>
      <c r="HQ16" s="56"/>
      <c r="HR16" s="56"/>
      <c r="HS16" s="56"/>
      <c r="HT16" s="56"/>
      <c r="HU16" s="56"/>
      <c r="HV16" s="56"/>
      <c r="HW16" s="56"/>
      <c r="HX16" s="56"/>
      <c r="HY16" s="56"/>
      <c r="HZ16" s="56"/>
      <c r="IA16" s="56"/>
      <c r="IB16" s="56"/>
      <c r="IC16" s="56"/>
      <c r="ID16" s="56"/>
      <c r="IE16" s="56"/>
      <c r="IF16" s="56"/>
      <c r="IG16" s="56"/>
      <c r="IH16" s="56"/>
      <c r="II16" s="56"/>
      <c r="IJ16" s="56"/>
      <c r="IK16" s="56"/>
      <c r="IL16" s="56"/>
      <c r="IM16" s="56"/>
      <c r="IN16" s="56"/>
      <c r="IO16" s="56"/>
      <c r="IP16" s="56"/>
      <c r="IQ16" s="56"/>
      <c r="IR16" s="56"/>
      <c r="IS16" s="56"/>
      <c r="IT16" s="56"/>
      <c r="IU16" s="56"/>
      <c r="IV16" s="56"/>
    </row>
    <row r="17" spans="1:9" ht="97.5" customHeight="1" x14ac:dyDescent="0.2">
      <c r="A17" s="60" t="s">
        <v>188</v>
      </c>
      <c r="B17" s="204" t="s">
        <v>189</v>
      </c>
      <c r="C17" s="205"/>
      <c r="D17" s="204" t="s">
        <v>88</v>
      </c>
      <c r="E17" s="206"/>
      <c r="F17" s="206"/>
      <c r="G17" s="205"/>
      <c r="H17" s="61" t="s">
        <v>87</v>
      </c>
      <c r="I17" s="114" t="s">
        <v>190</v>
      </c>
    </row>
    <row r="18" spans="1:9" ht="12.75" customHeight="1" x14ac:dyDescent="0.2">
      <c r="A18" s="88" t="s">
        <v>191</v>
      </c>
      <c r="B18" s="207">
        <v>2</v>
      </c>
      <c r="C18" s="208"/>
      <c r="D18" s="207">
        <v>3</v>
      </c>
      <c r="E18" s="209"/>
      <c r="F18" s="209"/>
      <c r="G18" s="208"/>
      <c r="H18" s="113">
        <v>4</v>
      </c>
      <c r="I18" s="115">
        <v>5</v>
      </c>
    </row>
    <row r="19" spans="1:9" ht="94.5" customHeight="1" x14ac:dyDescent="0.2">
      <c r="A19" s="89" t="s">
        <v>191</v>
      </c>
      <c r="B19" s="233" t="s">
        <v>457</v>
      </c>
      <c r="C19" s="233"/>
      <c r="D19" s="234" t="s">
        <v>464</v>
      </c>
      <c r="E19" s="234"/>
      <c r="F19" s="234"/>
      <c r="G19" s="234"/>
      <c r="H19" s="111" t="s">
        <v>465</v>
      </c>
      <c r="I19" s="112">
        <f>9847.74*2.4*1.2*0.805*4.27</f>
        <v>97488.371776319982</v>
      </c>
    </row>
    <row r="20" spans="1:9" ht="115.5" customHeight="1" x14ac:dyDescent="0.2">
      <c r="A20" s="75" t="s">
        <v>200</v>
      </c>
      <c r="B20" s="235" t="s">
        <v>220</v>
      </c>
      <c r="C20" s="236"/>
      <c r="D20" s="245" t="s">
        <v>221</v>
      </c>
      <c r="E20" s="246"/>
      <c r="F20" s="246"/>
      <c r="G20" s="247"/>
      <c r="H20" s="64" t="s">
        <v>471</v>
      </c>
      <c r="I20" s="65">
        <f>(11960*1*0.6*4.27*1.4*(1+0.1)*0.775)</f>
        <v>36570.654119999992</v>
      </c>
    </row>
    <row r="21" spans="1:9" ht="14.25" customHeight="1" x14ac:dyDescent="0.2">
      <c r="A21" s="75"/>
      <c r="B21" s="215" t="s">
        <v>63</v>
      </c>
      <c r="C21" s="216"/>
      <c r="D21" s="248"/>
      <c r="E21" s="249"/>
      <c r="F21" s="249"/>
      <c r="G21" s="250"/>
      <c r="H21" s="76"/>
      <c r="I21" s="87"/>
    </row>
    <row r="22" spans="1:9" ht="26.25" customHeight="1" x14ac:dyDescent="0.2">
      <c r="A22" s="75"/>
      <c r="B22" s="230" t="s">
        <v>194</v>
      </c>
      <c r="C22" s="231"/>
      <c r="D22" s="230" t="s">
        <v>195</v>
      </c>
      <c r="E22" s="232"/>
      <c r="F22" s="232"/>
      <c r="G22" s="231"/>
      <c r="H22" s="76"/>
      <c r="I22" s="87"/>
    </row>
    <row r="23" spans="1:9" ht="38.25" customHeight="1" x14ac:dyDescent="0.2">
      <c r="A23" s="75"/>
      <c r="B23" s="240"/>
      <c r="C23" s="241"/>
      <c r="D23" s="230" t="s">
        <v>463</v>
      </c>
      <c r="E23" s="232"/>
      <c r="F23" s="232"/>
      <c r="G23" s="231"/>
      <c r="H23" s="76"/>
      <c r="I23" s="87"/>
    </row>
    <row r="24" spans="1:9" ht="27.75" customHeight="1" x14ac:dyDescent="0.2">
      <c r="A24" s="75"/>
      <c r="B24" s="240"/>
      <c r="C24" s="241"/>
      <c r="D24" s="230" t="s">
        <v>197</v>
      </c>
      <c r="E24" s="232"/>
      <c r="F24" s="232"/>
      <c r="G24" s="231"/>
      <c r="H24" s="76"/>
      <c r="I24" s="87"/>
    </row>
    <row r="25" spans="1:9" ht="25.5" customHeight="1" x14ac:dyDescent="0.2">
      <c r="A25" s="75"/>
      <c r="B25" s="240"/>
      <c r="C25" s="241"/>
      <c r="D25" s="218" t="s">
        <v>198</v>
      </c>
      <c r="E25" s="220"/>
      <c r="F25" s="220"/>
      <c r="G25" s="219"/>
      <c r="H25" s="76"/>
      <c r="I25" s="87"/>
    </row>
    <row r="26" spans="1:9" ht="54.75" customHeight="1" x14ac:dyDescent="0.2">
      <c r="A26" s="75"/>
      <c r="B26" s="221" t="s">
        <v>69</v>
      </c>
      <c r="C26" s="222"/>
      <c r="D26" s="221"/>
      <c r="E26" s="223"/>
      <c r="F26" s="223"/>
      <c r="G26" s="222"/>
      <c r="H26" s="73" t="s">
        <v>470</v>
      </c>
      <c r="I26" s="87"/>
    </row>
    <row r="27" spans="1:9" ht="106.5" customHeight="1" x14ac:dyDescent="0.2">
      <c r="A27" s="75" t="s">
        <v>201</v>
      </c>
      <c r="B27" s="235" t="s">
        <v>71</v>
      </c>
      <c r="C27" s="236"/>
      <c r="D27" s="237" t="s">
        <v>72</v>
      </c>
      <c r="E27" s="238"/>
      <c r="F27" s="238"/>
      <c r="G27" s="239"/>
      <c r="H27" s="76" t="s">
        <v>466</v>
      </c>
      <c r="I27" s="82">
        <f>(0+800*1)*1*0.5*4.27</f>
        <v>1707.9999999999998</v>
      </c>
    </row>
    <row r="28" spans="1:9" ht="15.75" customHeight="1" x14ac:dyDescent="0.2">
      <c r="A28" s="66" t="s">
        <v>193</v>
      </c>
      <c r="B28" s="215" t="s">
        <v>63</v>
      </c>
      <c r="C28" s="216"/>
      <c r="D28" s="215"/>
      <c r="E28" s="217"/>
      <c r="F28" s="217"/>
      <c r="G28" s="216"/>
      <c r="H28" s="67"/>
      <c r="I28" s="91"/>
    </row>
    <row r="29" spans="1:9" ht="12.75" customHeight="1" x14ac:dyDescent="0.2">
      <c r="A29" s="69" t="s">
        <v>193</v>
      </c>
      <c r="B29" s="230" t="s">
        <v>64</v>
      </c>
      <c r="C29" s="231"/>
      <c r="D29" s="230" t="s">
        <v>74</v>
      </c>
      <c r="E29" s="232"/>
      <c r="F29" s="232"/>
      <c r="G29" s="231"/>
      <c r="H29" s="70"/>
      <c r="I29" s="71"/>
    </row>
    <row r="30" spans="1:9" ht="38.25" customHeight="1" x14ac:dyDescent="0.2">
      <c r="A30" s="69" t="s">
        <v>193</v>
      </c>
      <c r="B30" s="230"/>
      <c r="C30" s="231"/>
      <c r="D30" s="230" t="s">
        <v>463</v>
      </c>
      <c r="E30" s="232"/>
      <c r="F30" s="232"/>
      <c r="G30" s="231"/>
      <c r="H30" s="70"/>
      <c r="I30" s="71"/>
    </row>
    <row r="31" spans="1:9" ht="22.5" customHeight="1" x14ac:dyDescent="0.2">
      <c r="A31" s="72" t="s">
        <v>193</v>
      </c>
      <c r="B31" s="242" t="s">
        <v>69</v>
      </c>
      <c r="C31" s="243"/>
      <c r="D31" s="242"/>
      <c r="E31" s="244"/>
      <c r="F31" s="244"/>
      <c r="G31" s="243"/>
      <c r="H31" s="73" t="s">
        <v>75</v>
      </c>
      <c r="I31" s="74"/>
    </row>
    <row r="32" spans="1:9" ht="12.75" customHeight="1" x14ac:dyDescent="0.2">
      <c r="A32" s="72" t="s">
        <v>202</v>
      </c>
      <c r="B32" s="224" t="s">
        <v>76</v>
      </c>
      <c r="C32" s="225"/>
      <c r="D32" s="224"/>
      <c r="E32" s="226"/>
      <c r="F32" s="226"/>
      <c r="G32" s="225"/>
      <c r="H32" s="78"/>
      <c r="I32" s="79">
        <f>I19+I27+I20</f>
        <v>135767.02589631997</v>
      </c>
    </row>
    <row r="33" spans="1:256" ht="12.75" customHeight="1" x14ac:dyDescent="0.2">
      <c r="A33" s="80" t="s">
        <v>203</v>
      </c>
      <c r="B33" s="227" t="s">
        <v>77</v>
      </c>
      <c r="C33" s="228"/>
      <c r="D33" s="227"/>
      <c r="E33" s="229"/>
      <c r="F33" s="229"/>
      <c r="G33" s="228"/>
      <c r="H33" s="81" t="s">
        <v>217</v>
      </c>
      <c r="I33" s="82">
        <f>I32*0.1</f>
        <v>13576.702589631997</v>
      </c>
    </row>
    <row r="34" spans="1:256" ht="39.75" customHeight="1" x14ac:dyDescent="0.2">
      <c r="A34" s="80" t="s">
        <v>204</v>
      </c>
      <c r="B34" s="227" t="s">
        <v>23</v>
      </c>
      <c r="C34" s="228"/>
      <c r="D34" s="227"/>
      <c r="E34" s="229"/>
      <c r="F34" s="229"/>
      <c r="G34" s="228"/>
      <c r="H34" s="81" t="s">
        <v>79</v>
      </c>
      <c r="I34" s="82">
        <v>58429</v>
      </c>
    </row>
    <row r="35" spans="1:256" ht="25.5" customHeight="1" x14ac:dyDescent="0.2">
      <c r="A35" s="80" t="s">
        <v>205</v>
      </c>
      <c r="B35" s="227" t="s">
        <v>80</v>
      </c>
      <c r="C35" s="228"/>
      <c r="D35" s="227"/>
      <c r="E35" s="229"/>
      <c r="F35" s="229"/>
      <c r="G35" s="228"/>
      <c r="H35" s="81" t="s">
        <v>79</v>
      </c>
      <c r="I35" s="82">
        <v>4000</v>
      </c>
    </row>
    <row r="36" spans="1:256" ht="12.75" customHeight="1" x14ac:dyDescent="0.2">
      <c r="A36" s="80" t="s">
        <v>206</v>
      </c>
      <c r="B36" s="227" t="s">
        <v>81</v>
      </c>
      <c r="C36" s="228"/>
      <c r="D36" s="227"/>
      <c r="E36" s="229"/>
      <c r="F36" s="229"/>
      <c r="G36" s="228"/>
      <c r="H36" s="81" t="s">
        <v>227</v>
      </c>
      <c r="I36" s="82">
        <f>I32+I33+I34+I35</f>
        <v>211772.72848595196</v>
      </c>
    </row>
    <row r="37" spans="1:256" ht="12.75" customHeight="1" x14ac:dyDescent="0.2">
      <c r="A37" s="80" t="s">
        <v>208</v>
      </c>
      <c r="B37" s="227" t="s">
        <v>207</v>
      </c>
      <c r="C37" s="228"/>
      <c r="D37" s="227"/>
      <c r="E37" s="229"/>
      <c r="F37" s="229"/>
      <c r="G37" s="228"/>
      <c r="H37" s="81" t="s">
        <v>274</v>
      </c>
      <c r="I37" s="82">
        <f>ROUND(I36*20%,2)</f>
        <v>42354.55</v>
      </c>
    </row>
    <row r="38" spans="1:256" ht="12.75" customHeight="1" x14ac:dyDescent="0.2">
      <c r="A38" s="80" t="s">
        <v>226</v>
      </c>
      <c r="B38" s="224" t="s">
        <v>85</v>
      </c>
      <c r="C38" s="225"/>
      <c r="D38" s="224"/>
      <c r="E38" s="226"/>
      <c r="F38" s="226"/>
      <c r="G38" s="225"/>
      <c r="H38" s="83" t="s">
        <v>228</v>
      </c>
      <c r="I38" s="84">
        <f>I36+I37</f>
        <v>254127.27848595195</v>
      </c>
    </row>
    <row r="40" spans="1:256" ht="12.75" customHeight="1" x14ac:dyDescent="0.25">
      <c r="A40" s="52" t="s">
        <v>209</v>
      </c>
      <c r="B40" s="52"/>
      <c r="C40" s="52"/>
      <c r="D40" s="52"/>
      <c r="E40" s="52"/>
      <c r="F40" s="52"/>
      <c r="G40" s="52"/>
      <c r="H40" s="52"/>
      <c r="I40" s="52"/>
      <c r="J40" s="52"/>
      <c r="K40" s="52"/>
      <c r="L40" s="52"/>
      <c r="M40" s="52"/>
      <c r="N40" s="52"/>
      <c r="O40" s="52"/>
      <c r="P40" s="52"/>
      <c r="Q40" s="52"/>
      <c r="R40" s="52"/>
      <c r="S40" s="52"/>
      <c r="T40" s="52"/>
      <c r="U40" s="52"/>
      <c r="V40" s="52"/>
      <c r="W40" s="52"/>
      <c r="X40" s="52"/>
      <c r="Y40" s="52"/>
      <c r="Z40" s="52"/>
      <c r="AA40" s="52"/>
      <c r="AB40" s="52"/>
      <c r="AC40" s="52"/>
      <c r="AD40" s="52"/>
      <c r="AE40" s="52"/>
      <c r="AF40" s="52"/>
      <c r="AG40" s="52"/>
      <c r="AH40" s="52"/>
      <c r="AI40" s="52"/>
      <c r="AJ40" s="52"/>
      <c r="AK40" s="52"/>
      <c r="AL40" s="52"/>
      <c r="AM40" s="52"/>
      <c r="AN40" s="52"/>
      <c r="AO40" s="52"/>
      <c r="AP40" s="52"/>
      <c r="AQ40" s="52"/>
      <c r="AR40" s="52"/>
      <c r="AS40" s="52"/>
      <c r="AT40" s="52"/>
      <c r="AU40" s="52"/>
      <c r="AV40" s="52"/>
      <c r="AW40" s="52"/>
      <c r="AX40" s="52"/>
      <c r="AY40" s="52"/>
      <c r="AZ40" s="52"/>
      <c r="BA40" s="52"/>
      <c r="BB40" s="52"/>
      <c r="BC40" s="52"/>
      <c r="BD40" s="52"/>
      <c r="BE40" s="52"/>
      <c r="BF40" s="52"/>
      <c r="BG40" s="52"/>
      <c r="BH40" s="52"/>
      <c r="BI40" s="52"/>
      <c r="BJ40" s="52"/>
      <c r="BK40" s="52"/>
      <c r="BL40" s="52"/>
      <c r="BM40" s="52"/>
      <c r="BN40" s="52"/>
      <c r="BO40" s="52"/>
      <c r="BP40" s="52"/>
      <c r="BQ40" s="52"/>
      <c r="BR40" s="52"/>
      <c r="BS40" s="52"/>
      <c r="BT40" s="52"/>
      <c r="BU40" s="52"/>
      <c r="BV40" s="52"/>
      <c r="BW40" s="52"/>
      <c r="BX40" s="52"/>
      <c r="BY40" s="52"/>
      <c r="BZ40" s="52"/>
      <c r="CA40" s="52"/>
      <c r="CB40" s="52"/>
      <c r="CC40" s="52"/>
      <c r="CD40" s="52"/>
      <c r="CE40" s="52"/>
      <c r="CF40" s="52"/>
      <c r="CG40" s="52"/>
      <c r="CH40" s="52"/>
      <c r="CI40" s="52"/>
      <c r="CJ40" s="52"/>
      <c r="CK40" s="52"/>
      <c r="CL40" s="52"/>
      <c r="CM40" s="52"/>
      <c r="CN40" s="52"/>
      <c r="CO40" s="52"/>
      <c r="CP40" s="52"/>
      <c r="CQ40" s="52"/>
      <c r="CR40" s="52"/>
      <c r="CS40" s="52"/>
      <c r="CT40" s="52"/>
      <c r="CU40" s="52"/>
      <c r="CV40" s="52"/>
      <c r="CW40" s="52"/>
      <c r="CX40" s="52"/>
      <c r="CY40" s="52"/>
      <c r="CZ40" s="52"/>
      <c r="DA40" s="52"/>
      <c r="DB40" s="52"/>
      <c r="DC40" s="52"/>
      <c r="DD40" s="52"/>
      <c r="DE40" s="52"/>
      <c r="DF40" s="52"/>
      <c r="DG40" s="52"/>
      <c r="DH40" s="52"/>
      <c r="DI40" s="52"/>
      <c r="DJ40" s="52"/>
      <c r="DK40" s="52"/>
      <c r="DL40" s="52"/>
      <c r="DM40" s="52"/>
      <c r="DN40" s="52"/>
      <c r="DO40" s="52"/>
      <c r="DP40" s="52"/>
      <c r="DQ40" s="52"/>
      <c r="DR40" s="52"/>
      <c r="DS40" s="52"/>
      <c r="DT40" s="52"/>
      <c r="DU40" s="52"/>
      <c r="DV40" s="52"/>
      <c r="DW40" s="52"/>
      <c r="DX40" s="52"/>
      <c r="DY40" s="52"/>
      <c r="DZ40" s="52"/>
      <c r="EA40" s="52"/>
      <c r="EB40" s="52"/>
      <c r="EC40" s="52"/>
      <c r="ED40" s="52"/>
      <c r="EE40" s="52"/>
      <c r="EF40" s="52"/>
      <c r="EG40" s="52"/>
      <c r="EH40" s="52"/>
      <c r="EI40" s="52"/>
      <c r="EJ40" s="52"/>
      <c r="EK40" s="52"/>
      <c r="EL40" s="52"/>
      <c r="EM40" s="52"/>
      <c r="EN40" s="52"/>
      <c r="EO40" s="52"/>
      <c r="EP40" s="52"/>
      <c r="EQ40" s="52"/>
      <c r="ER40" s="52"/>
      <c r="ES40" s="52"/>
      <c r="ET40" s="52"/>
      <c r="EU40" s="52"/>
      <c r="EV40" s="52"/>
      <c r="EW40" s="52"/>
      <c r="EX40" s="52"/>
      <c r="EY40" s="52"/>
      <c r="EZ40" s="52"/>
      <c r="FA40" s="52"/>
      <c r="FB40" s="52"/>
      <c r="FC40" s="52"/>
      <c r="FD40" s="52"/>
      <c r="FE40" s="52"/>
      <c r="FF40" s="52"/>
      <c r="FG40" s="52"/>
      <c r="FH40" s="52"/>
      <c r="FI40" s="52"/>
      <c r="FJ40" s="52"/>
      <c r="FK40" s="52"/>
      <c r="FL40" s="52"/>
      <c r="FM40" s="52"/>
      <c r="FN40" s="52"/>
      <c r="FO40" s="52"/>
      <c r="FP40" s="52"/>
      <c r="FQ40" s="52"/>
      <c r="FR40" s="52"/>
      <c r="FS40" s="52"/>
      <c r="FT40" s="52"/>
      <c r="FU40" s="52"/>
      <c r="FV40" s="52"/>
      <c r="FW40" s="52"/>
      <c r="FX40" s="52"/>
      <c r="FY40" s="52"/>
      <c r="FZ40" s="52"/>
      <c r="GA40" s="52"/>
      <c r="GB40" s="52"/>
      <c r="GC40" s="52"/>
      <c r="GD40" s="52"/>
      <c r="GE40" s="52"/>
      <c r="GF40" s="52"/>
      <c r="GG40" s="52"/>
      <c r="GH40" s="52"/>
      <c r="GI40" s="52"/>
      <c r="GJ40" s="52"/>
      <c r="GK40" s="52"/>
      <c r="GL40" s="52"/>
      <c r="GM40" s="52"/>
      <c r="GN40" s="52"/>
      <c r="GO40" s="52"/>
      <c r="GP40" s="52"/>
      <c r="GQ40" s="52"/>
      <c r="GR40" s="52"/>
      <c r="GS40" s="52"/>
      <c r="GT40" s="52"/>
      <c r="GU40" s="52"/>
      <c r="GV40" s="52"/>
      <c r="GW40" s="52"/>
      <c r="GX40" s="52"/>
      <c r="GY40" s="52"/>
      <c r="GZ40" s="52"/>
      <c r="HA40" s="52"/>
      <c r="HB40" s="52"/>
      <c r="HC40" s="52"/>
      <c r="HD40" s="52"/>
      <c r="HE40" s="52"/>
      <c r="HF40" s="52"/>
      <c r="HG40" s="52"/>
      <c r="HH40" s="52"/>
      <c r="HI40" s="52"/>
      <c r="HJ40" s="52"/>
      <c r="HK40" s="52"/>
      <c r="HL40" s="52"/>
      <c r="HM40" s="52"/>
      <c r="HN40" s="52"/>
      <c r="HO40" s="52"/>
      <c r="HP40" s="52"/>
      <c r="HQ40" s="52"/>
      <c r="HR40" s="52"/>
      <c r="HS40" s="52"/>
      <c r="HT40" s="52"/>
      <c r="HU40" s="52"/>
      <c r="HV40" s="52"/>
      <c r="HW40" s="52"/>
      <c r="HX40" s="52"/>
      <c r="HY40" s="52"/>
      <c r="HZ40" s="52"/>
      <c r="IA40" s="52"/>
      <c r="IB40" s="52"/>
      <c r="IC40" s="52"/>
      <c r="ID40" s="52"/>
      <c r="IE40" s="52"/>
      <c r="IF40" s="52"/>
      <c r="IG40" s="52"/>
      <c r="IH40" s="52"/>
      <c r="II40" s="52"/>
      <c r="IJ40" s="52"/>
      <c r="IK40" s="52"/>
      <c r="IL40" s="52"/>
      <c r="IM40" s="52"/>
      <c r="IN40" s="52"/>
      <c r="IO40" s="52"/>
      <c r="IP40" s="52"/>
      <c r="IQ40" s="52"/>
      <c r="IR40" s="52"/>
      <c r="IS40" s="52"/>
      <c r="IT40" s="52"/>
      <c r="IU40" s="52"/>
      <c r="IV40" s="52"/>
    </row>
    <row r="41" spans="1:256" ht="13.5" customHeight="1" x14ac:dyDescent="0.25">
      <c r="A41" s="1" t="s">
        <v>27</v>
      </c>
      <c r="B41" s="1"/>
      <c r="C41" s="1"/>
      <c r="D41" s="52"/>
      <c r="E41" s="52"/>
      <c r="F41" s="52"/>
      <c r="G41" s="52"/>
      <c r="H41" s="52"/>
      <c r="I41" s="52"/>
      <c r="J41" s="52"/>
      <c r="K41" s="52"/>
      <c r="L41" s="52"/>
      <c r="M41" s="52"/>
      <c r="N41" s="52"/>
      <c r="O41" s="52"/>
      <c r="P41" s="52"/>
      <c r="Q41" s="52"/>
      <c r="R41" s="52"/>
      <c r="S41" s="52"/>
      <c r="T41" s="52"/>
      <c r="U41" s="52"/>
      <c r="V41" s="52"/>
      <c r="W41" s="52"/>
      <c r="X41" s="52"/>
      <c r="Y41" s="52"/>
      <c r="Z41" s="52"/>
      <c r="AA41" s="52"/>
      <c r="AB41" s="52"/>
      <c r="AC41" s="52"/>
      <c r="AD41" s="52"/>
      <c r="AE41" s="52"/>
      <c r="AF41" s="52"/>
      <c r="AG41" s="52"/>
      <c r="AH41" s="52"/>
      <c r="AI41" s="52"/>
      <c r="AJ41" s="52"/>
      <c r="AK41" s="52"/>
      <c r="AL41" s="52"/>
      <c r="AM41" s="52"/>
      <c r="AN41" s="52"/>
      <c r="AO41" s="52"/>
      <c r="AP41" s="52"/>
      <c r="AQ41" s="52"/>
      <c r="AR41" s="52"/>
      <c r="AS41" s="52"/>
      <c r="AT41" s="52"/>
      <c r="AU41" s="52"/>
      <c r="AV41" s="52"/>
      <c r="AW41" s="52"/>
      <c r="AX41" s="52"/>
      <c r="AY41" s="52"/>
      <c r="AZ41" s="52"/>
      <c r="BA41" s="52"/>
      <c r="BB41" s="52"/>
      <c r="BC41" s="52"/>
      <c r="BD41" s="52"/>
      <c r="BE41" s="52"/>
      <c r="BF41" s="52"/>
      <c r="BG41" s="52"/>
      <c r="BH41" s="52"/>
      <c r="BI41" s="52"/>
      <c r="BJ41" s="52"/>
      <c r="BK41" s="52"/>
      <c r="BL41" s="52"/>
      <c r="BM41" s="52"/>
      <c r="BN41" s="52"/>
      <c r="BO41" s="52"/>
      <c r="BP41" s="52"/>
      <c r="BQ41" s="52"/>
      <c r="BR41" s="52"/>
      <c r="BS41" s="52"/>
      <c r="BT41" s="52"/>
      <c r="BU41" s="52"/>
      <c r="BV41" s="52"/>
      <c r="BW41" s="52"/>
      <c r="BX41" s="52"/>
      <c r="BY41" s="52"/>
      <c r="BZ41" s="52"/>
      <c r="CA41" s="52"/>
      <c r="CB41" s="52"/>
      <c r="CC41" s="52"/>
      <c r="CD41" s="52"/>
      <c r="CE41" s="52"/>
      <c r="CF41" s="52"/>
      <c r="CG41" s="52"/>
      <c r="CH41" s="52"/>
      <c r="CI41" s="52"/>
      <c r="CJ41" s="52"/>
      <c r="CK41" s="52"/>
      <c r="CL41" s="52"/>
      <c r="CM41" s="52"/>
      <c r="CN41" s="52"/>
      <c r="CO41" s="52"/>
      <c r="CP41" s="52"/>
      <c r="CQ41" s="52"/>
      <c r="CR41" s="52"/>
      <c r="CS41" s="52"/>
      <c r="CT41" s="52"/>
      <c r="CU41" s="52"/>
      <c r="CV41" s="52"/>
      <c r="CW41" s="52"/>
      <c r="CX41" s="52"/>
      <c r="CY41" s="52"/>
      <c r="CZ41" s="52"/>
      <c r="DA41" s="52"/>
      <c r="DB41" s="52"/>
      <c r="DC41" s="52"/>
      <c r="DD41" s="52"/>
      <c r="DE41" s="52"/>
      <c r="DF41" s="52"/>
      <c r="DG41" s="52"/>
      <c r="DH41" s="52"/>
      <c r="DI41" s="52"/>
      <c r="DJ41" s="52"/>
      <c r="DK41" s="52"/>
      <c r="DL41" s="52"/>
      <c r="DM41" s="52"/>
      <c r="DN41" s="52"/>
      <c r="DO41" s="52"/>
      <c r="DP41" s="52"/>
      <c r="DQ41" s="52"/>
      <c r="DR41" s="52"/>
      <c r="DS41" s="52"/>
      <c r="DT41" s="52"/>
      <c r="DU41" s="52"/>
      <c r="DV41" s="52"/>
      <c r="DW41" s="52"/>
      <c r="DX41" s="52"/>
      <c r="DY41" s="52"/>
      <c r="DZ41" s="52"/>
      <c r="EA41" s="52"/>
      <c r="EB41" s="52"/>
      <c r="EC41" s="52"/>
      <c r="ED41" s="52"/>
      <c r="EE41" s="52"/>
      <c r="EF41" s="52"/>
      <c r="EG41" s="52"/>
      <c r="EH41" s="52"/>
      <c r="EI41" s="52"/>
      <c r="EJ41" s="52"/>
      <c r="EK41" s="52"/>
      <c r="EL41" s="52"/>
      <c r="EM41" s="52"/>
      <c r="EN41" s="52"/>
      <c r="EO41" s="52"/>
      <c r="EP41" s="52"/>
      <c r="EQ41" s="52"/>
      <c r="ER41" s="52"/>
      <c r="ES41" s="52"/>
      <c r="ET41" s="52"/>
      <c r="EU41" s="52"/>
      <c r="EV41" s="52"/>
      <c r="EW41" s="52"/>
      <c r="EX41" s="52"/>
      <c r="EY41" s="52"/>
      <c r="EZ41" s="52"/>
      <c r="FA41" s="52"/>
      <c r="FB41" s="52"/>
      <c r="FC41" s="52"/>
      <c r="FD41" s="52"/>
      <c r="FE41" s="52"/>
      <c r="FF41" s="52"/>
      <c r="FG41" s="52"/>
      <c r="FH41" s="52"/>
      <c r="FI41" s="52"/>
      <c r="FJ41" s="52"/>
      <c r="FK41" s="52"/>
      <c r="FL41" s="52"/>
      <c r="FM41" s="52"/>
      <c r="FN41" s="52"/>
      <c r="FO41" s="52"/>
      <c r="FP41" s="52"/>
      <c r="FQ41" s="52"/>
      <c r="FR41" s="52"/>
      <c r="FS41" s="52"/>
      <c r="FT41" s="52"/>
      <c r="FU41" s="52"/>
      <c r="FV41" s="52"/>
      <c r="FW41" s="52"/>
      <c r="FX41" s="52"/>
      <c r="FY41" s="52"/>
      <c r="FZ41" s="52"/>
      <c r="GA41" s="52"/>
      <c r="GB41" s="52"/>
      <c r="GC41" s="52"/>
      <c r="GD41" s="52"/>
      <c r="GE41" s="52"/>
      <c r="GF41" s="52"/>
      <c r="GG41" s="52"/>
      <c r="GH41" s="52"/>
      <c r="GI41" s="52"/>
      <c r="GJ41" s="52"/>
      <c r="GK41" s="52"/>
      <c r="GL41" s="52"/>
      <c r="GM41" s="52"/>
      <c r="GN41" s="52"/>
      <c r="GO41" s="52"/>
      <c r="GP41" s="52"/>
      <c r="GQ41" s="52"/>
      <c r="GR41" s="52"/>
      <c r="GS41" s="52"/>
      <c r="GT41" s="52"/>
      <c r="GU41" s="52"/>
      <c r="GV41" s="52"/>
      <c r="GW41" s="52"/>
      <c r="GX41" s="52"/>
      <c r="GY41" s="52"/>
      <c r="GZ41" s="52"/>
      <c r="HA41" s="52"/>
      <c r="HB41" s="52"/>
      <c r="HC41" s="52"/>
      <c r="HD41" s="52"/>
      <c r="HE41" s="52"/>
      <c r="HF41" s="52"/>
      <c r="HG41" s="52"/>
      <c r="HH41" s="52"/>
      <c r="HI41" s="52"/>
      <c r="HJ41" s="52"/>
      <c r="HK41" s="52"/>
      <c r="HL41" s="52"/>
      <c r="HM41" s="52"/>
      <c r="HN41" s="52"/>
      <c r="HO41" s="52"/>
      <c r="HP41" s="52"/>
      <c r="HQ41" s="52"/>
      <c r="HR41" s="52"/>
      <c r="HS41" s="52"/>
      <c r="HT41" s="52"/>
      <c r="HU41" s="52"/>
      <c r="HV41" s="52"/>
      <c r="HW41" s="52"/>
      <c r="HX41" s="52"/>
      <c r="HY41" s="52"/>
      <c r="HZ41" s="52"/>
      <c r="IA41" s="52"/>
      <c r="IB41" s="52"/>
      <c r="IC41" s="52"/>
      <c r="ID41" s="52"/>
      <c r="IE41" s="52"/>
      <c r="IF41" s="52"/>
      <c r="IG41" s="52"/>
      <c r="IH41" s="52"/>
      <c r="II41" s="52"/>
      <c r="IJ41" s="52"/>
      <c r="IK41" s="52"/>
      <c r="IL41" s="52"/>
      <c r="IM41" s="52"/>
      <c r="IN41" s="52"/>
      <c r="IO41" s="52"/>
      <c r="IP41" s="52"/>
      <c r="IQ41" s="52"/>
      <c r="IR41" s="52"/>
      <c r="IS41" s="52"/>
      <c r="IT41" s="52"/>
      <c r="IU41" s="52"/>
      <c r="IV41" s="52"/>
    </row>
    <row r="42" spans="1:256" ht="18" customHeight="1" x14ac:dyDescent="0.25">
      <c r="A42" s="1" t="s">
        <v>130</v>
      </c>
      <c r="B42" s="1"/>
      <c r="C42" s="1"/>
      <c r="D42" s="52"/>
      <c r="E42" s="52"/>
      <c r="F42" s="52"/>
      <c r="G42" s="52"/>
      <c r="H42" s="52"/>
      <c r="I42" s="52"/>
      <c r="J42" s="52"/>
      <c r="K42" s="52"/>
      <c r="L42" s="52"/>
      <c r="M42" s="52"/>
      <c r="N42" s="52"/>
      <c r="O42" s="52"/>
      <c r="P42" s="52"/>
      <c r="Q42" s="52"/>
      <c r="R42" s="52"/>
      <c r="S42" s="52"/>
      <c r="T42" s="52"/>
      <c r="U42" s="52"/>
      <c r="V42" s="52"/>
      <c r="W42" s="52"/>
      <c r="X42" s="52"/>
      <c r="Y42" s="52"/>
      <c r="Z42" s="52"/>
      <c r="AA42" s="52"/>
      <c r="AB42" s="52"/>
      <c r="AC42" s="52"/>
      <c r="AD42" s="52"/>
      <c r="AE42" s="52"/>
      <c r="AF42" s="52"/>
      <c r="AG42" s="52"/>
      <c r="AH42" s="52"/>
      <c r="AI42" s="52"/>
      <c r="AJ42" s="52"/>
      <c r="AK42" s="52"/>
      <c r="AL42" s="52"/>
      <c r="AM42" s="52"/>
      <c r="AN42" s="52"/>
      <c r="AO42" s="52"/>
      <c r="AP42" s="52"/>
      <c r="AQ42" s="52"/>
      <c r="AR42" s="52"/>
      <c r="AS42" s="52"/>
      <c r="AT42" s="52"/>
      <c r="AU42" s="52"/>
      <c r="AV42" s="52"/>
      <c r="AW42" s="52"/>
      <c r="AX42" s="52"/>
      <c r="AY42" s="52"/>
      <c r="AZ42" s="52"/>
      <c r="BA42" s="52"/>
      <c r="BB42" s="52"/>
      <c r="BC42" s="52"/>
      <c r="BD42" s="52"/>
      <c r="BE42" s="52"/>
      <c r="BF42" s="52"/>
      <c r="BG42" s="52"/>
      <c r="BH42" s="52"/>
      <c r="BI42" s="52"/>
      <c r="BJ42" s="52"/>
      <c r="BK42" s="52"/>
      <c r="BL42" s="52"/>
      <c r="BM42" s="52"/>
      <c r="BN42" s="52"/>
      <c r="BO42" s="52"/>
      <c r="BP42" s="52"/>
      <c r="BQ42" s="52"/>
      <c r="BR42" s="52"/>
      <c r="BS42" s="52"/>
      <c r="BT42" s="52"/>
      <c r="BU42" s="52"/>
      <c r="BV42" s="52"/>
      <c r="BW42" s="52"/>
      <c r="BX42" s="52"/>
      <c r="BY42" s="52"/>
      <c r="BZ42" s="52"/>
      <c r="CA42" s="52"/>
      <c r="CB42" s="52"/>
      <c r="CC42" s="52"/>
      <c r="CD42" s="52"/>
      <c r="CE42" s="52"/>
      <c r="CF42" s="52"/>
      <c r="CG42" s="52"/>
      <c r="CH42" s="52"/>
      <c r="CI42" s="52"/>
      <c r="CJ42" s="52"/>
      <c r="CK42" s="52"/>
      <c r="CL42" s="52"/>
      <c r="CM42" s="52"/>
      <c r="CN42" s="52"/>
      <c r="CO42" s="52"/>
      <c r="CP42" s="52"/>
      <c r="CQ42" s="52"/>
      <c r="CR42" s="52"/>
      <c r="CS42" s="52"/>
      <c r="CT42" s="52"/>
      <c r="CU42" s="52"/>
      <c r="CV42" s="52"/>
      <c r="CW42" s="52"/>
      <c r="CX42" s="52"/>
      <c r="CY42" s="52"/>
      <c r="CZ42" s="52"/>
      <c r="DA42" s="52"/>
      <c r="DB42" s="52"/>
      <c r="DC42" s="52"/>
      <c r="DD42" s="52"/>
      <c r="DE42" s="52"/>
      <c r="DF42" s="52"/>
      <c r="DG42" s="52"/>
      <c r="DH42" s="52"/>
      <c r="DI42" s="52"/>
      <c r="DJ42" s="52"/>
      <c r="DK42" s="52"/>
      <c r="DL42" s="52"/>
      <c r="DM42" s="52"/>
      <c r="DN42" s="52"/>
      <c r="DO42" s="52"/>
      <c r="DP42" s="52"/>
      <c r="DQ42" s="52"/>
      <c r="DR42" s="52"/>
      <c r="DS42" s="52"/>
      <c r="DT42" s="52"/>
      <c r="DU42" s="52"/>
      <c r="DV42" s="52"/>
      <c r="DW42" s="52"/>
      <c r="DX42" s="52"/>
      <c r="DY42" s="52"/>
      <c r="DZ42" s="52"/>
      <c r="EA42" s="52"/>
      <c r="EB42" s="52"/>
      <c r="EC42" s="52"/>
      <c r="ED42" s="52"/>
      <c r="EE42" s="52"/>
      <c r="EF42" s="52"/>
      <c r="EG42" s="52"/>
      <c r="EH42" s="52"/>
      <c r="EI42" s="52"/>
      <c r="EJ42" s="52"/>
      <c r="EK42" s="52"/>
      <c r="EL42" s="52"/>
      <c r="EM42" s="52"/>
      <c r="EN42" s="52"/>
      <c r="EO42" s="52"/>
      <c r="EP42" s="52"/>
      <c r="EQ42" s="52"/>
      <c r="ER42" s="52"/>
      <c r="ES42" s="52"/>
      <c r="ET42" s="52"/>
      <c r="EU42" s="52"/>
      <c r="EV42" s="52"/>
      <c r="EW42" s="52"/>
      <c r="EX42" s="52"/>
      <c r="EY42" s="52"/>
      <c r="EZ42" s="52"/>
      <c r="FA42" s="52"/>
      <c r="FB42" s="52"/>
      <c r="FC42" s="52"/>
      <c r="FD42" s="52"/>
      <c r="FE42" s="52"/>
      <c r="FF42" s="52"/>
      <c r="FG42" s="52"/>
      <c r="FH42" s="52"/>
      <c r="FI42" s="52"/>
      <c r="FJ42" s="52"/>
      <c r="FK42" s="52"/>
      <c r="FL42" s="52"/>
      <c r="FM42" s="52"/>
      <c r="FN42" s="52"/>
      <c r="FO42" s="52"/>
      <c r="FP42" s="52"/>
      <c r="FQ42" s="52"/>
      <c r="FR42" s="52"/>
      <c r="FS42" s="52"/>
      <c r="FT42" s="52"/>
      <c r="FU42" s="52"/>
      <c r="FV42" s="52"/>
      <c r="FW42" s="52"/>
      <c r="FX42" s="52"/>
      <c r="FY42" s="52"/>
      <c r="FZ42" s="52"/>
      <c r="GA42" s="52"/>
      <c r="GB42" s="52"/>
      <c r="GC42" s="52"/>
      <c r="GD42" s="52"/>
      <c r="GE42" s="52"/>
      <c r="GF42" s="52"/>
      <c r="GG42" s="52"/>
      <c r="GH42" s="52"/>
      <c r="GI42" s="52"/>
      <c r="GJ42" s="52"/>
      <c r="GK42" s="52"/>
      <c r="GL42" s="52"/>
      <c r="GM42" s="52"/>
      <c r="GN42" s="52"/>
      <c r="GO42" s="52"/>
      <c r="GP42" s="52"/>
      <c r="GQ42" s="52"/>
      <c r="GR42" s="52"/>
      <c r="GS42" s="52"/>
      <c r="GT42" s="52"/>
      <c r="GU42" s="52"/>
      <c r="GV42" s="52"/>
      <c r="GW42" s="52"/>
      <c r="GX42" s="52"/>
      <c r="GY42" s="52"/>
      <c r="GZ42" s="52"/>
      <c r="HA42" s="52"/>
      <c r="HB42" s="52"/>
      <c r="HC42" s="52"/>
      <c r="HD42" s="52"/>
      <c r="HE42" s="52"/>
      <c r="HF42" s="52"/>
      <c r="HG42" s="52"/>
      <c r="HH42" s="52"/>
      <c r="HI42" s="52"/>
      <c r="HJ42" s="52"/>
      <c r="HK42" s="52"/>
      <c r="HL42" s="52"/>
      <c r="HM42" s="52"/>
      <c r="HN42" s="52"/>
      <c r="HO42" s="52"/>
      <c r="HP42" s="52"/>
      <c r="HQ42" s="52"/>
      <c r="HR42" s="52"/>
      <c r="HS42" s="52"/>
      <c r="HT42" s="52"/>
      <c r="HU42" s="52"/>
      <c r="HV42" s="52"/>
      <c r="HW42" s="52"/>
      <c r="HX42" s="52"/>
      <c r="HY42" s="52"/>
      <c r="HZ42" s="52"/>
      <c r="IA42" s="52"/>
      <c r="IB42" s="52"/>
      <c r="IC42" s="52"/>
      <c r="ID42" s="52"/>
      <c r="IE42" s="52"/>
      <c r="IF42" s="52"/>
      <c r="IG42" s="52"/>
      <c r="IH42" s="52"/>
      <c r="II42" s="52"/>
      <c r="IJ42" s="52"/>
      <c r="IK42" s="52"/>
      <c r="IL42" s="52"/>
      <c r="IM42" s="52"/>
      <c r="IN42" s="52"/>
      <c r="IO42" s="52"/>
      <c r="IP42" s="52"/>
      <c r="IQ42" s="52"/>
      <c r="IR42" s="52"/>
      <c r="IS42" s="52"/>
      <c r="IT42" s="52"/>
      <c r="IU42" s="52"/>
      <c r="IV42" s="52"/>
    </row>
    <row r="43" spans="1:256" ht="18.75" customHeight="1" x14ac:dyDescent="0.25">
      <c r="A43" s="2" t="s">
        <v>28</v>
      </c>
      <c r="B43" s="52"/>
      <c r="C43" s="52"/>
      <c r="D43" s="52"/>
      <c r="E43" s="52"/>
      <c r="F43" s="52"/>
      <c r="G43" s="52"/>
      <c r="H43" s="52"/>
      <c r="I43" s="52"/>
      <c r="J43" s="52"/>
      <c r="K43" s="52"/>
      <c r="L43" s="52"/>
      <c r="M43" s="52"/>
      <c r="N43" s="52"/>
      <c r="O43" s="52"/>
      <c r="P43" s="52"/>
      <c r="Q43" s="52"/>
      <c r="R43" s="52"/>
      <c r="S43" s="52"/>
      <c r="T43" s="52"/>
      <c r="U43" s="52"/>
      <c r="V43" s="52"/>
      <c r="W43" s="52"/>
      <c r="X43" s="52"/>
      <c r="Y43" s="52"/>
      <c r="Z43" s="52"/>
      <c r="AA43" s="52"/>
      <c r="AB43" s="52"/>
      <c r="AC43" s="52"/>
      <c r="AD43" s="52"/>
      <c r="AE43" s="52"/>
      <c r="AF43" s="52"/>
      <c r="AG43" s="52"/>
      <c r="AH43" s="52"/>
      <c r="AI43" s="52"/>
      <c r="AJ43" s="52"/>
      <c r="AK43" s="52"/>
      <c r="AL43" s="52"/>
      <c r="AM43" s="52"/>
      <c r="AN43" s="52"/>
      <c r="AO43" s="52"/>
      <c r="AP43" s="52"/>
      <c r="AQ43" s="52"/>
      <c r="AR43" s="52"/>
      <c r="AS43" s="52"/>
      <c r="AT43" s="52"/>
      <c r="AU43" s="52"/>
      <c r="AV43" s="52"/>
      <c r="AW43" s="52"/>
      <c r="AX43" s="52"/>
      <c r="AY43" s="52"/>
      <c r="AZ43" s="52"/>
      <c r="BA43" s="52"/>
      <c r="BB43" s="52"/>
      <c r="BC43" s="52"/>
      <c r="BD43" s="52"/>
      <c r="BE43" s="52"/>
      <c r="BF43" s="52"/>
      <c r="BG43" s="52"/>
      <c r="BH43" s="52"/>
      <c r="BI43" s="52"/>
      <c r="BJ43" s="52"/>
      <c r="BK43" s="52"/>
      <c r="BL43" s="52"/>
      <c r="BM43" s="52"/>
      <c r="BN43" s="52"/>
      <c r="BO43" s="52"/>
      <c r="BP43" s="52"/>
      <c r="BQ43" s="52"/>
      <c r="BR43" s="52"/>
      <c r="BS43" s="52"/>
      <c r="BT43" s="52"/>
      <c r="BU43" s="52"/>
      <c r="BV43" s="52"/>
      <c r="BW43" s="52"/>
      <c r="BX43" s="52"/>
      <c r="BY43" s="52"/>
      <c r="BZ43" s="52"/>
      <c r="CA43" s="52"/>
      <c r="CB43" s="52"/>
      <c r="CC43" s="52"/>
      <c r="CD43" s="52"/>
      <c r="CE43" s="52"/>
      <c r="CF43" s="52"/>
      <c r="CG43" s="52"/>
      <c r="CH43" s="52"/>
      <c r="CI43" s="52"/>
      <c r="CJ43" s="52"/>
      <c r="CK43" s="52"/>
      <c r="CL43" s="52"/>
      <c r="CM43" s="52"/>
      <c r="CN43" s="52"/>
      <c r="CO43" s="52"/>
      <c r="CP43" s="52"/>
      <c r="CQ43" s="52"/>
      <c r="CR43" s="52"/>
      <c r="CS43" s="52"/>
      <c r="CT43" s="52"/>
      <c r="CU43" s="52"/>
      <c r="CV43" s="52"/>
      <c r="CW43" s="52"/>
      <c r="CX43" s="52"/>
      <c r="CY43" s="52"/>
      <c r="CZ43" s="52"/>
      <c r="DA43" s="52"/>
      <c r="DB43" s="52"/>
      <c r="DC43" s="52"/>
      <c r="DD43" s="52"/>
      <c r="DE43" s="52"/>
      <c r="DF43" s="52"/>
      <c r="DG43" s="52"/>
      <c r="DH43" s="52"/>
      <c r="DI43" s="52"/>
      <c r="DJ43" s="52"/>
      <c r="DK43" s="52"/>
      <c r="DL43" s="52"/>
      <c r="DM43" s="52"/>
      <c r="DN43" s="52"/>
      <c r="DO43" s="52"/>
      <c r="DP43" s="52"/>
      <c r="DQ43" s="52"/>
      <c r="DR43" s="52"/>
      <c r="DS43" s="52"/>
      <c r="DT43" s="52"/>
      <c r="DU43" s="52"/>
      <c r="DV43" s="52"/>
      <c r="DW43" s="52"/>
      <c r="DX43" s="52"/>
      <c r="DY43" s="52"/>
      <c r="DZ43" s="52"/>
      <c r="EA43" s="52"/>
      <c r="EB43" s="52"/>
      <c r="EC43" s="52"/>
      <c r="ED43" s="52"/>
      <c r="EE43" s="52"/>
      <c r="EF43" s="52"/>
      <c r="EG43" s="52"/>
      <c r="EH43" s="52"/>
      <c r="EI43" s="52"/>
      <c r="EJ43" s="52"/>
      <c r="EK43" s="52"/>
      <c r="EL43" s="52"/>
      <c r="EM43" s="52"/>
      <c r="EN43" s="52"/>
      <c r="EO43" s="52"/>
      <c r="EP43" s="52"/>
      <c r="EQ43" s="52"/>
      <c r="ER43" s="52"/>
      <c r="ES43" s="52"/>
      <c r="ET43" s="52"/>
      <c r="EU43" s="52"/>
      <c r="EV43" s="52"/>
      <c r="EW43" s="52"/>
      <c r="EX43" s="52"/>
      <c r="EY43" s="52"/>
      <c r="EZ43" s="52"/>
      <c r="FA43" s="52"/>
      <c r="FB43" s="52"/>
      <c r="FC43" s="52"/>
      <c r="FD43" s="52"/>
      <c r="FE43" s="52"/>
      <c r="FF43" s="52"/>
      <c r="FG43" s="52"/>
      <c r="FH43" s="52"/>
      <c r="FI43" s="52"/>
      <c r="FJ43" s="52"/>
      <c r="FK43" s="52"/>
      <c r="FL43" s="52"/>
      <c r="FM43" s="52"/>
      <c r="FN43" s="52"/>
      <c r="FO43" s="52"/>
      <c r="FP43" s="52"/>
      <c r="FQ43" s="52"/>
      <c r="FR43" s="52"/>
      <c r="FS43" s="52"/>
      <c r="FT43" s="52"/>
      <c r="FU43" s="52"/>
      <c r="FV43" s="52"/>
      <c r="FW43" s="52"/>
      <c r="FX43" s="52"/>
      <c r="FY43" s="52"/>
      <c r="FZ43" s="52"/>
      <c r="GA43" s="52"/>
      <c r="GB43" s="52"/>
      <c r="GC43" s="52"/>
      <c r="GD43" s="52"/>
      <c r="GE43" s="52"/>
      <c r="GF43" s="52"/>
      <c r="GG43" s="52"/>
      <c r="GH43" s="52"/>
      <c r="GI43" s="52"/>
      <c r="GJ43" s="52"/>
      <c r="GK43" s="52"/>
      <c r="GL43" s="52"/>
      <c r="GM43" s="52"/>
      <c r="GN43" s="52"/>
      <c r="GO43" s="52"/>
      <c r="GP43" s="52"/>
      <c r="GQ43" s="52"/>
      <c r="GR43" s="52"/>
      <c r="GS43" s="52"/>
      <c r="GT43" s="52"/>
      <c r="GU43" s="52"/>
      <c r="GV43" s="52"/>
      <c r="GW43" s="52"/>
      <c r="GX43" s="52"/>
      <c r="GY43" s="52"/>
      <c r="GZ43" s="52"/>
      <c r="HA43" s="52"/>
      <c r="HB43" s="52"/>
      <c r="HC43" s="52"/>
      <c r="HD43" s="52"/>
      <c r="HE43" s="52"/>
      <c r="HF43" s="52"/>
      <c r="HG43" s="52"/>
      <c r="HH43" s="52"/>
      <c r="HI43" s="52"/>
      <c r="HJ43" s="52"/>
      <c r="HK43" s="52"/>
      <c r="HL43" s="52"/>
      <c r="HM43" s="52"/>
      <c r="HN43" s="52"/>
      <c r="HO43" s="52"/>
      <c r="HP43" s="52"/>
      <c r="HQ43" s="52"/>
      <c r="HR43" s="52"/>
      <c r="HS43" s="52"/>
      <c r="HT43" s="52"/>
      <c r="HU43" s="52"/>
      <c r="HV43" s="52"/>
      <c r="HW43" s="52"/>
      <c r="HX43" s="52"/>
      <c r="HY43" s="52"/>
      <c r="HZ43" s="52"/>
      <c r="IA43" s="52"/>
      <c r="IB43" s="52"/>
      <c r="IC43" s="52"/>
      <c r="ID43" s="52"/>
      <c r="IE43" s="52"/>
      <c r="IF43" s="52"/>
      <c r="IG43" s="52"/>
      <c r="IH43" s="52"/>
      <c r="II43" s="52"/>
      <c r="IJ43" s="52"/>
      <c r="IK43" s="52"/>
      <c r="IL43" s="52"/>
      <c r="IM43" s="52"/>
      <c r="IN43" s="52"/>
      <c r="IO43" s="52"/>
      <c r="IP43" s="52"/>
      <c r="IQ43" s="52"/>
      <c r="IR43" s="52"/>
      <c r="IS43" s="52"/>
      <c r="IT43" s="52"/>
      <c r="IU43" s="52"/>
      <c r="IV43" s="52"/>
    </row>
    <row r="44" spans="1:256" ht="17.25" customHeight="1" x14ac:dyDescent="0.25">
      <c r="A44" s="52" t="s">
        <v>352</v>
      </c>
      <c r="B44" s="52"/>
      <c r="C44" s="52"/>
      <c r="D44" s="52"/>
      <c r="E44" s="52"/>
      <c r="F44" s="52"/>
      <c r="G44" s="52"/>
      <c r="H44" s="52"/>
      <c r="I44" s="52"/>
      <c r="J44" s="52"/>
      <c r="K44" s="52"/>
      <c r="L44" s="52"/>
      <c r="M44" s="52"/>
      <c r="N44" s="52"/>
      <c r="O44" s="52"/>
      <c r="P44" s="52"/>
      <c r="Q44" s="52"/>
      <c r="R44" s="52"/>
      <c r="S44" s="52"/>
      <c r="T44" s="52"/>
      <c r="U44" s="52"/>
      <c r="V44" s="52"/>
      <c r="W44" s="52"/>
      <c r="X44" s="52"/>
      <c r="Y44" s="52"/>
      <c r="Z44" s="52"/>
      <c r="AA44" s="52"/>
      <c r="AB44" s="52"/>
      <c r="AC44" s="52"/>
      <c r="AD44" s="52"/>
      <c r="AE44" s="52"/>
      <c r="AF44" s="52"/>
      <c r="AG44" s="52"/>
      <c r="AH44" s="52"/>
      <c r="AI44" s="52"/>
      <c r="AJ44" s="52"/>
      <c r="AK44" s="52"/>
      <c r="AL44" s="52"/>
      <c r="AM44" s="52"/>
      <c r="AN44" s="52"/>
      <c r="AO44" s="52"/>
      <c r="AP44" s="52"/>
      <c r="AQ44" s="52"/>
      <c r="AR44" s="52"/>
      <c r="AS44" s="52"/>
      <c r="AT44" s="52"/>
      <c r="AU44" s="52"/>
      <c r="AV44" s="52"/>
      <c r="AW44" s="52"/>
      <c r="AX44" s="52"/>
      <c r="AY44" s="52"/>
      <c r="AZ44" s="52"/>
      <c r="BA44" s="52"/>
      <c r="BB44" s="52"/>
      <c r="BC44" s="52"/>
      <c r="BD44" s="52"/>
      <c r="BE44" s="52"/>
      <c r="BF44" s="52"/>
      <c r="BG44" s="52"/>
      <c r="BH44" s="52"/>
      <c r="BI44" s="52"/>
      <c r="BJ44" s="52"/>
      <c r="BK44" s="52"/>
      <c r="BL44" s="52"/>
      <c r="BM44" s="52"/>
      <c r="BN44" s="52"/>
      <c r="BO44" s="52"/>
      <c r="BP44" s="52"/>
      <c r="BQ44" s="52"/>
      <c r="BR44" s="52"/>
      <c r="BS44" s="52"/>
      <c r="BT44" s="52"/>
      <c r="BU44" s="52"/>
      <c r="BV44" s="52"/>
      <c r="BW44" s="52"/>
      <c r="BX44" s="52"/>
      <c r="BY44" s="52"/>
      <c r="BZ44" s="52"/>
      <c r="CA44" s="52"/>
      <c r="CB44" s="52"/>
      <c r="CC44" s="52"/>
      <c r="CD44" s="52"/>
      <c r="CE44" s="52"/>
      <c r="CF44" s="52"/>
      <c r="CG44" s="52"/>
      <c r="CH44" s="52"/>
      <c r="CI44" s="52"/>
      <c r="CJ44" s="52"/>
      <c r="CK44" s="52"/>
      <c r="CL44" s="52"/>
      <c r="CM44" s="52"/>
      <c r="CN44" s="52"/>
      <c r="CO44" s="52"/>
      <c r="CP44" s="52"/>
      <c r="CQ44" s="52"/>
      <c r="CR44" s="52"/>
      <c r="CS44" s="52"/>
      <c r="CT44" s="52"/>
      <c r="CU44" s="52"/>
      <c r="CV44" s="52"/>
      <c r="CW44" s="52"/>
      <c r="CX44" s="52"/>
      <c r="CY44" s="52"/>
      <c r="CZ44" s="52"/>
      <c r="DA44" s="52"/>
      <c r="DB44" s="52"/>
      <c r="DC44" s="52"/>
      <c r="DD44" s="52"/>
      <c r="DE44" s="52"/>
      <c r="DF44" s="52"/>
      <c r="DG44" s="52"/>
      <c r="DH44" s="52"/>
      <c r="DI44" s="52"/>
      <c r="DJ44" s="52"/>
      <c r="DK44" s="52"/>
      <c r="DL44" s="52"/>
      <c r="DM44" s="52"/>
      <c r="DN44" s="52"/>
      <c r="DO44" s="52"/>
      <c r="DP44" s="52"/>
      <c r="DQ44" s="52"/>
      <c r="DR44" s="52"/>
      <c r="DS44" s="52"/>
      <c r="DT44" s="52"/>
      <c r="DU44" s="52"/>
      <c r="DV44" s="52"/>
      <c r="DW44" s="52"/>
      <c r="DX44" s="52"/>
      <c r="DY44" s="52"/>
      <c r="DZ44" s="52"/>
      <c r="EA44" s="52"/>
      <c r="EB44" s="52"/>
      <c r="EC44" s="52"/>
      <c r="ED44" s="52"/>
      <c r="EE44" s="52"/>
      <c r="EF44" s="52"/>
      <c r="EG44" s="52"/>
      <c r="EH44" s="52"/>
      <c r="EI44" s="52"/>
      <c r="EJ44" s="52"/>
      <c r="EK44" s="52"/>
      <c r="EL44" s="52"/>
      <c r="EM44" s="52"/>
      <c r="EN44" s="52"/>
      <c r="EO44" s="52"/>
      <c r="EP44" s="52"/>
      <c r="EQ44" s="52"/>
      <c r="ER44" s="52"/>
      <c r="ES44" s="52"/>
      <c r="ET44" s="52"/>
      <c r="EU44" s="52"/>
      <c r="EV44" s="52"/>
      <c r="EW44" s="52"/>
      <c r="EX44" s="52"/>
      <c r="EY44" s="52"/>
      <c r="EZ44" s="52"/>
      <c r="FA44" s="52"/>
      <c r="FB44" s="52"/>
      <c r="FC44" s="52"/>
      <c r="FD44" s="52"/>
      <c r="FE44" s="52"/>
      <c r="FF44" s="52"/>
      <c r="FG44" s="52"/>
      <c r="FH44" s="52"/>
      <c r="FI44" s="52"/>
      <c r="FJ44" s="52"/>
      <c r="FK44" s="52"/>
      <c r="FL44" s="52"/>
      <c r="FM44" s="52"/>
      <c r="FN44" s="52"/>
      <c r="FO44" s="52"/>
      <c r="FP44" s="52"/>
      <c r="FQ44" s="52"/>
      <c r="FR44" s="52"/>
      <c r="FS44" s="52"/>
      <c r="FT44" s="52"/>
      <c r="FU44" s="52"/>
      <c r="FV44" s="52"/>
      <c r="FW44" s="52"/>
      <c r="FX44" s="52"/>
      <c r="FY44" s="52"/>
      <c r="FZ44" s="52"/>
      <c r="GA44" s="52"/>
      <c r="GB44" s="52"/>
      <c r="GC44" s="52"/>
      <c r="GD44" s="52"/>
      <c r="GE44" s="52"/>
      <c r="GF44" s="52"/>
      <c r="GG44" s="52"/>
      <c r="GH44" s="52"/>
      <c r="GI44" s="52"/>
      <c r="GJ44" s="52"/>
      <c r="GK44" s="52"/>
      <c r="GL44" s="52"/>
      <c r="GM44" s="52"/>
      <c r="GN44" s="52"/>
      <c r="GO44" s="52"/>
      <c r="GP44" s="52"/>
      <c r="GQ44" s="52"/>
      <c r="GR44" s="52"/>
      <c r="GS44" s="52"/>
      <c r="GT44" s="52"/>
      <c r="GU44" s="52"/>
      <c r="GV44" s="52"/>
      <c r="GW44" s="52"/>
      <c r="GX44" s="52"/>
      <c r="GY44" s="52"/>
      <c r="GZ44" s="52"/>
      <c r="HA44" s="52"/>
      <c r="HB44" s="52"/>
      <c r="HC44" s="52"/>
      <c r="HD44" s="52"/>
      <c r="HE44" s="52"/>
      <c r="HF44" s="52"/>
      <c r="HG44" s="52"/>
      <c r="HH44" s="52"/>
      <c r="HI44" s="52"/>
      <c r="HJ44" s="52"/>
      <c r="HK44" s="52"/>
      <c r="HL44" s="52"/>
      <c r="HM44" s="52"/>
      <c r="HN44" s="52"/>
      <c r="HO44" s="52"/>
      <c r="HP44" s="52"/>
      <c r="HQ44" s="52"/>
      <c r="HR44" s="52"/>
      <c r="HS44" s="52"/>
      <c r="HT44" s="52"/>
      <c r="HU44" s="52"/>
      <c r="HV44" s="52"/>
      <c r="HW44" s="52"/>
      <c r="HX44" s="52"/>
      <c r="HY44" s="52"/>
      <c r="HZ44" s="52"/>
      <c r="IA44" s="52"/>
      <c r="IB44" s="52"/>
      <c r="IC44" s="52"/>
      <c r="ID44" s="52"/>
      <c r="IE44" s="52"/>
      <c r="IF44" s="52"/>
      <c r="IG44" s="52"/>
      <c r="IH44" s="52"/>
      <c r="II44" s="52"/>
      <c r="IJ44" s="52"/>
      <c r="IK44" s="52"/>
      <c r="IL44" s="52"/>
      <c r="IM44" s="52"/>
      <c r="IN44" s="52"/>
      <c r="IO44" s="52"/>
      <c r="IP44" s="52"/>
      <c r="IQ44" s="52"/>
      <c r="IR44" s="52"/>
      <c r="IS44" s="52"/>
      <c r="IT44" s="52"/>
      <c r="IU44" s="52"/>
      <c r="IV44" s="52"/>
    </row>
  </sheetData>
  <mergeCells count="48">
    <mergeCell ref="C1:I1"/>
    <mergeCell ref="A12:I12"/>
    <mergeCell ref="A13:I13"/>
    <mergeCell ref="A15:I15"/>
    <mergeCell ref="B17:C17"/>
    <mergeCell ref="D17:G17"/>
    <mergeCell ref="B18:C18"/>
    <mergeCell ref="D18:G18"/>
    <mergeCell ref="B19:C19"/>
    <mergeCell ref="D19:G19"/>
    <mergeCell ref="B20:C20"/>
    <mergeCell ref="D20:G20"/>
    <mergeCell ref="B21:C21"/>
    <mergeCell ref="D21:G21"/>
    <mergeCell ref="B22:C22"/>
    <mergeCell ref="D22:G22"/>
    <mergeCell ref="B23:C23"/>
    <mergeCell ref="D23:G23"/>
    <mergeCell ref="B24:C24"/>
    <mergeCell ref="D24:G24"/>
    <mergeCell ref="B25:C25"/>
    <mergeCell ref="D25:G25"/>
    <mergeCell ref="B26:C26"/>
    <mergeCell ref="D26:G26"/>
    <mergeCell ref="B27:C27"/>
    <mergeCell ref="D27:G27"/>
    <mergeCell ref="B28:C28"/>
    <mergeCell ref="D28:G28"/>
    <mergeCell ref="B29:C29"/>
    <mergeCell ref="D29:G29"/>
    <mergeCell ref="B30:C30"/>
    <mergeCell ref="D30:G30"/>
    <mergeCell ref="B31:C31"/>
    <mergeCell ref="D31:G31"/>
    <mergeCell ref="B32:C32"/>
    <mergeCell ref="D32:G32"/>
    <mergeCell ref="B33:C33"/>
    <mergeCell ref="D33:G33"/>
    <mergeCell ref="B34:C34"/>
    <mergeCell ref="D34:G34"/>
    <mergeCell ref="B35:C35"/>
    <mergeCell ref="D35:G35"/>
    <mergeCell ref="B36:C36"/>
    <mergeCell ref="D36:G36"/>
    <mergeCell ref="B37:C37"/>
    <mergeCell ref="D37:G37"/>
    <mergeCell ref="B38:C38"/>
    <mergeCell ref="D38:G38"/>
  </mergeCells>
  <pageMargins left="0.11811023622047245" right="0.19685039370078741" top="7.874015748031496E-2" bottom="0.19685039370078741" header="0.31496062992125984" footer="0.31496062992125984"/>
  <pageSetup paperSize="9" orientation="portrait" useFirstPageNumber="1" r:id="rId1"/>
  <headerFooter alignWithMargins="0">
    <oddFooter>&amp;CСтраница &amp;P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4"/>
  <sheetViews>
    <sheetView zoomScaleNormal="100" workbookViewId="0">
      <selection activeCell="E36" sqref="E36"/>
    </sheetView>
  </sheetViews>
  <sheetFormatPr defaultRowHeight="15.75" x14ac:dyDescent="0.25"/>
  <cols>
    <col min="1" max="1" width="4.7109375" style="1" customWidth="1"/>
    <col min="2" max="2" width="26.140625" style="1" customWidth="1"/>
    <col min="3" max="3" width="33" style="1" customWidth="1"/>
    <col min="4" max="4" width="26.7109375" style="1" customWidth="1"/>
    <col min="5" max="5" width="11.85546875" style="1" customWidth="1"/>
    <col min="6" max="16384" width="9.140625" style="1"/>
  </cols>
  <sheetData>
    <row r="1" spans="1:5" x14ac:dyDescent="0.25">
      <c r="B1" s="188" t="s">
        <v>55</v>
      </c>
      <c r="C1" s="188"/>
      <c r="D1" s="188"/>
    </row>
    <row r="3" spans="1:5" x14ac:dyDescent="0.25">
      <c r="A3" s="1" t="s">
        <v>1</v>
      </c>
      <c r="D3" s="2" t="s">
        <v>2</v>
      </c>
      <c r="E3" s="3"/>
    </row>
    <row r="4" spans="1:5" x14ac:dyDescent="0.25">
      <c r="A4" s="1" t="s">
        <v>3</v>
      </c>
      <c r="D4" s="2" t="s">
        <v>4</v>
      </c>
      <c r="E4" s="3"/>
    </row>
    <row r="5" spans="1:5" x14ac:dyDescent="0.25">
      <c r="A5" s="1" t="s">
        <v>5</v>
      </c>
      <c r="D5" s="2" t="s">
        <v>6</v>
      </c>
      <c r="E5" s="3"/>
    </row>
    <row r="6" spans="1:5" x14ac:dyDescent="0.25">
      <c r="D6" s="3"/>
      <c r="E6" s="3"/>
    </row>
    <row r="7" spans="1:5" x14ac:dyDescent="0.25">
      <c r="A7" s="4" t="s">
        <v>54</v>
      </c>
      <c r="D7" s="2" t="s">
        <v>8</v>
      </c>
      <c r="E7" s="3"/>
    </row>
    <row r="8" spans="1:5" x14ac:dyDescent="0.25">
      <c r="A8" s="4" t="s">
        <v>45</v>
      </c>
      <c r="D8" s="2" t="str">
        <f>A8</f>
        <v>"___" ___________ 2018 г.</v>
      </c>
      <c r="E8" s="3"/>
    </row>
    <row r="9" spans="1:5" x14ac:dyDescent="0.25">
      <c r="A9" s="4"/>
      <c r="D9" s="5"/>
      <c r="E9" s="6"/>
    </row>
    <row r="10" spans="1:5" ht="18" customHeight="1" x14ac:dyDescent="0.25">
      <c r="A10" s="189" t="s">
        <v>10</v>
      </c>
      <c r="B10" s="189"/>
      <c r="C10" s="189"/>
      <c r="D10" s="189"/>
      <c r="E10" s="189"/>
    </row>
    <row r="11" spans="1:5" x14ac:dyDescent="0.25">
      <c r="C11" s="7" t="s">
        <v>11</v>
      </c>
    </row>
    <row r="12" spans="1:5" x14ac:dyDescent="0.25">
      <c r="C12" s="7"/>
    </row>
    <row r="13" spans="1:5" ht="33" customHeight="1" x14ac:dyDescent="0.25">
      <c r="A13" s="190" t="s">
        <v>56</v>
      </c>
      <c r="B13" s="190"/>
      <c r="C13" s="190"/>
      <c r="D13" s="190"/>
      <c r="E13" s="190"/>
    </row>
    <row r="14" spans="1:5" ht="0.75" customHeight="1" x14ac:dyDescent="0.25">
      <c r="A14" s="190"/>
      <c r="B14" s="190"/>
      <c r="C14" s="190"/>
      <c r="D14" s="190"/>
      <c r="E14" s="190"/>
    </row>
    <row r="15" spans="1:5" x14ac:dyDescent="0.25">
      <c r="A15" s="8"/>
      <c r="B15" s="8"/>
      <c r="C15" s="8"/>
      <c r="D15" s="8"/>
      <c r="E15" s="8"/>
    </row>
    <row r="16" spans="1:5" ht="95.25" customHeight="1" x14ac:dyDescent="0.25">
      <c r="A16" s="9" t="s">
        <v>12</v>
      </c>
      <c r="B16" s="9" t="s">
        <v>13</v>
      </c>
      <c r="C16" s="9" t="s">
        <v>88</v>
      </c>
      <c r="D16" s="9" t="s">
        <v>87</v>
      </c>
      <c r="E16" s="9" t="s">
        <v>16</v>
      </c>
    </row>
    <row r="17" spans="1:5" ht="205.5" customHeight="1" x14ac:dyDescent="0.25">
      <c r="A17" s="10">
        <v>1</v>
      </c>
      <c r="B17" s="11" t="s">
        <v>60</v>
      </c>
      <c r="C17" s="11" t="s">
        <v>61</v>
      </c>
      <c r="D17" s="12" t="s">
        <v>62</v>
      </c>
      <c r="E17" s="13">
        <v>278643.74</v>
      </c>
    </row>
    <row r="18" spans="1:5" ht="17.25" customHeight="1" x14ac:dyDescent="0.25">
      <c r="A18" s="10"/>
      <c r="B18" s="14" t="s">
        <v>63</v>
      </c>
      <c r="C18" s="12"/>
      <c r="D18" s="12"/>
      <c r="E18" s="13"/>
    </row>
    <row r="19" spans="1:5" ht="13.5" customHeight="1" x14ac:dyDescent="0.25">
      <c r="A19" s="10"/>
      <c r="B19" s="12" t="s">
        <v>64</v>
      </c>
      <c r="C19" s="15" t="s">
        <v>65</v>
      </c>
      <c r="D19" s="16"/>
      <c r="E19" s="17"/>
    </row>
    <row r="20" spans="1:5" ht="45.75" customHeight="1" x14ac:dyDescent="0.25">
      <c r="A20" s="10"/>
      <c r="B20" s="12"/>
      <c r="C20" s="24" t="s">
        <v>66</v>
      </c>
      <c r="D20" s="16"/>
      <c r="E20" s="17"/>
    </row>
    <row r="21" spans="1:5" ht="31.5" customHeight="1" x14ac:dyDescent="0.25">
      <c r="A21" s="10"/>
      <c r="B21" s="12"/>
      <c r="C21" s="24" t="s">
        <v>67</v>
      </c>
      <c r="D21" s="16"/>
      <c r="E21" s="17"/>
    </row>
    <row r="22" spans="1:5" ht="29.25" customHeight="1" x14ac:dyDescent="0.25">
      <c r="A22" s="10"/>
      <c r="B22" s="12"/>
      <c r="C22" s="24" t="s">
        <v>68</v>
      </c>
      <c r="D22" s="16"/>
      <c r="E22" s="17"/>
    </row>
    <row r="23" spans="1:5" ht="18" customHeight="1" x14ac:dyDescent="0.25">
      <c r="A23" s="10"/>
      <c r="B23" s="12" t="s">
        <v>69</v>
      </c>
      <c r="C23" s="15"/>
      <c r="D23" s="16" t="s">
        <v>70</v>
      </c>
      <c r="E23" s="17"/>
    </row>
    <row r="24" spans="1:5" ht="170.25" customHeight="1" x14ac:dyDescent="0.25">
      <c r="A24" s="10">
        <v>2</v>
      </c>
      <c r="B24" s="12" t="s">
        <v>71</v>
      </c>
      <c r="C24" s="24" t="s">
        <v>72</v>
      </c>
      <c r="D24" s="25" t="s">
        <v>73</v>
      </c>
      <c r="E24" s="17">
        <v>1596</v>
      </c>
    </row>
    <row r="25" spans="1:5" ht="18" customHeight="1" x14ac:dyDescent="0.25">
      <c r="A25" s="10"/>
      <c r="B25" s="12" t="s">
        <v>63</v>
      </c>
      <c r="C25" s="24"/>
      <c r="D25" s="25"/>
      <c r="E25" s="17"/>
    </row>
    <row r="26" spans="1:5" ht="18" customHeight="1" x14ac:dyDescent="0.25">
      <c r="A26" s="10"/>
      <c r="B26" s="12" t="s">
        <v>64</v>
      </c>
      <c r="C26" s="24" t="s">
        <v>74</v>
      </c>
      <c r="D26" s="25"/>
      <c r="E26" s="17"/>
    </row>
    <row r="27" spans="1:5" ht="45" customHeight="1" x14ac:dyDescent="0.25">
      <c r="A27" s="10"/>
      <c r="B27" s="12"/>
      <c r="C27" s="24" t="s">
        <v>66</v>
      </c>
      <c r="D27" s="25"/>
      <c r="E27" s="17"/>
    </row>
    <row r="28" spans="1:5" ht="48" customHeight="1" x14ac:dyDescent="0.25">
      <c r="A28" s="10"/>
      <c r="B28" s="12" t="s">
        <v>69</v>
      </c>
      <c r="C28" s="15"/>
      <c r="D28" s="16" t="s">
        <v>75</v>
      </c>
      <c r="E28" s="17"/>
    </row>
    <row r="29" spans="1:5" ht="17.25" customHeight="1" x14ac:dyDescent="0.25">
      <c r="A29" s="10">
        <v>3</v>
      </c>
      <c r="B29" s="12" t="s">
        <v>76</v>
      </c>
      <c r="C29" s="15"/>
      <c r="D29" s="16"/>
      <c r="E29" s="17">
        <v>280239.74</v>
      </c>
    </row>
    <row r="30" spans="1:5" ht="17.25" customHeight="1" x14ac:dyDescent="0.25">
      <c r="A30" s="10">
        <v>4</v>
      </c>
      <c r="B30" s="12" t="s">
        <v>77</v>
      </c>
      <c r="C30" s="15"/>
      <c r="D30" s="16" t="s">
        <v>78</v>
      </c>
      <c r="E30" s="17">
        <v>28023.97</v>
      </c>
    </row>
    <row r="31" spans="1:5" ht="31.5" x14ac:dyDescent="0.25">
      <c r="A31" s="28">
        <v>5</v>
      </c>
      <c r="B31" s="12" t="s">
        <v>23</v>
      </c>
      <c r="C31" s="15"/>
      <c r="D31" s="15" t="s">
        <v>79</v>
      </c>
      <c r="E31" s="17">
        <v>27451</v>
      </c>
    </row>
    <row r="32" spans="1:5" ht="33" customHeight="1" x14ac:dyDescent="0.25">
      <c r="A32" s="28">
        <v>6</v>
      </c>
      <c r="B32" s="12" t="s">
        <v>80</v>
      </c>
      <c r="C32" s="29" t="s">
        <v>89</v>
      </c>
      <c r="D32" s="15" t="s">
        <v>79</v>
      </c>
      <c r="E32" s="17">
        <v>12711.86</v>
      </c>
    </row>
    <row r="33" spans="1:5" x14ac:dyDescent="0.25">
      <c r="A33" s="28">
        <v>7</v>
      </c>
      <c r="B33" s="12" t="s">
        <v>81</v>
      </c>
      <c r="C33" s="15"/>
      <c r="D33" s="15" t="s">
        <v>82</v>
      </c>
      <c r="E33" s="17">
        <v>348426.57</v>
      </c>
    </row>
    <row r="34" spans="1:5" x14ac:dyDescent="0.25">
      <c r="A34" s="28">
        <v>8</v>
      </c>
      <c r="B34" s="12" t="s">
        <v>83</v>
      </c>
      <c r="C34" s="15"/>
      <c r="D34" s="15" t="s">
        <v>84</v>
      </c>
      <c r="E34" s="17">
        <v>62716.78</v>
      </c>
    </row>
    <row r="35" spans="1:5" x14ac:dyDescent="0.25">
      <c r="A35" s="28">
        <v>9</v>
      </c>
      <c r="B35" s="19" t="s">
        <v>85</v>
      </c>
      <c r="C35" s="15"/>
      <c r="D35" s="26" t="s">
        <v>86</v>
      </c>
      <c r="E35" s="27">
        <v>411143.35</v>
      </c>
    </row>
    <row r="36" spans="1:5" x14ac:dyDescent="0.25">
      <c r="A36" s="1" t="s">
        <v>2</v>
      </c>
      <c r="B36" s="21"/>
    </row>
    <row r="37" spans="1:5" x14ac:dyDescent="0.25">
      <c r="A37" s="1" t="s">
        <v>27</v>
      </c>
    </row>
    <row r="38" spans="1:5" x14ac:dyDescent="0.25">
      <c r="A38" s="1" t="s">
        <v>31</v>
      </c>
    </row>
    <row r="39" spans="1:5" x14ac:dyDescent="0.25">
      <c r="A39" s="4" t="s">
        <v>28</v>
      </c>
    </row>
    <row r="40" spans="1:5" x14ac:dyDescent="0.25">
      <c r="A40" s="1" t="s">
        <v>29</v>
      </c>
    </row>
    <row r="44" spans="1:5" x14ac:dyDescent="0.25">
      <c r="E44" s="1" t="s">
        <v>30</v>
      </c>
    </row>
  </sheetData>
  <mergeCells count="4">
    <mergeCell ref="B1:D1"/>
    <mergeCell ref="A10:E10"/>
    <mergeCell ref="A13:E13"/>
    <mergeCell ref="A14:E14"/>
  </mergeCells>
  <pageMargins left="0.19685039370078741" right="0.19685039370078741" top="0.19685039370078741" bottom="0.19685039370078741" header="0.51181102362204722" footer="0.51181102362204722"/>
  <pageSetup paperSize="9" orientation="portrait" r:id="rId1"/>
  <headerFooter alignWithMargins="0"/>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4"/>
  <sheetViews>
    <sheetView tabSelected="1" zoomScaleNormal="100" workbookViewId="0">
      <selection activeCell="D9" sqref="D9"/>
    </sheetView>
  </sheetViews>
  <sheetFormatPr defaultRowHeight="15.75" x14ac:dyDescent="0.25"/>
  <cols>
    <col min="1" max="1" width="4.7109375" style="1" customWidth="1"/>
    <col min="2" max="2" width="26.140625" style="1" customWidth="1"/>
    <col min="3" max="3" width="33" style="1" customWidth="1"/>
    <col min="4" max="4" width="26.42578125" style="1" customWidth="1"/>
    <col min="5" max="5" width="11.85546875" style="1" customWidth="1"/>
    <col min="6" max="16384" width="9.140625" style="1"/>
  </cols>
  <sheetData>
    <row r="1" spans="1:5" x14ac:dyDescent="0.25">
      <c r="B1" s="188" t="s">
        <v>486</v>
      </c>
      <c r="C1" s="188"/>
      <c r="D1" s="188"/>
    </row>
    <row r="3" spans="1:5" x14ac:dyDescent="0.25">
      <c r="A3" s="92" t="s">
        <v>230</v>
      </c>
      <c r="B3" s="93"/>
      <c r="C3" s="94"/>
      <c r="D3" s="92" t="s">
        <v>231</v>
      </c>
      <c r="E3"/>
    </row>
    <row r="4" spans="1:5" x14ac:dyDescent="0.25">
      <c r="A4" s="95" t="s">
        <v>232</v>
      </c>
      <c r="B4" s="96"/>
      <c r="C4" s="94"/>
      <c r="D4" s="95" t="s">
        <v>233</v>
      </c>
      <c r="E4"/>
    </row>
    <row r="5" spans="1:5" x14ac:dyDescent="0.25">
      <c r="A5" s="97" t="s">
        <v>487</v>
      </c>
      <c r="B5" s="98"/>
      <c r="C5" s="20"/>
      <c r="D5" s="97" t="s">
        <v>183</v>
      </c>
      <c r="E5" s="99"/>
    </row>
    <row r="6" spans="1:5" x14ac:dyDescent="0.25">
      <c r="A6" s="97" t="s">
        <v>235</v>
      </c>
      <c r="B6" s="98"/>
      <c r="C6" s="100"/>
      <c r="D6" s="97" t="s">
        <v>5</v>
      </c>
      <c r="E6" s="101"/>
    </row>
    <row r="7" spans="1:5" x14ac:dyDescent="0.25">
      <c r="A7"/>
      <c r="B7" s="102"/>
      <c r="C7"/>
      <c r="D7" s="97"/>
      <c r="E7" s="99"/>
    </row>
    <row r="8" spans="1:5" x14ac:dyDescent="0.25">
      <c r="A8" s="97" t="s">
        <v>488</v>
      </c>
      <c r="B8" s="98"/>
      <c r="D8" s="97" t="s">
        <v>237</v>
      </c>
      <c r="E8" s="99"/>
    </row>
    <row r="9" spans="1:5" x14ac:dyDescent="0.25">
      <c r="A9" s="97" t="s">
        <v>446</v>
      </c>
      <c r="B9" s="98"/>
      <c r="D9" s="97" t="s">
        <v>447</v>
      </c>
      <c r="E9" s="98"/>
    </row>
    <row r="10" spans="1:5" x14ac:dyDescent="0.25">
      <c r="A10" s="4"/>
      <c r="D10" s="5"/>
      <c r="E10" s="6"/>
    </row>
    <row r="11" spans="1:5" ht="18" customHeight="1" x14ac:dyDescent="0.25">
      <c r="A11" s="189" t="s">
        <v>10</v>
      </c>
      <c r="B11" s="189"/>
      <c r="C11" s="189"/>
      <c r="D11" s="189"/>
      <c r="E11" s="189"/>
    </row>
    <row r="12" spans="1:5" x14ac:dyDescent="0.25">
      <c r="C12" s="181" t="s">
        <v>159</v>
      </c>
    </row>
    <row r="13" spans="1:5" x14ac:dyDescent="0.25">
      <c r="C13" s="7"/>
    </row>
    <row r="14" spans="1:5" ht="40.5" customHeight="1" x14ac:dyDescent="0.25">
      <c r="A14" s="190" t="s">
        <v>458</v>
      </c>
      <c r="B14" s="190"/>
      <c r="C14" s="190"/>
      <c r="D14" s="190"/>
      <c r="E14" s="190"/>
    </row>
    <row r="15" spans="1:5" x14ac:dyDescent="0.25">
      <c r="A15" s="8"/>
      <c r="B15" s="8"/>
      <c r="C15" s="8"/>
      <c r="D15" s="8"/>
      <c r="E15" s="8"/>
    </row>
    <row r="16" spans="1:5" ht="95.25" customHeight="1" x14ac:dyDescent="0.25">
      <c r="A16" s="9" t="s">
        <v>12</v>
      </c>
      <c r="B16" s="9" t="s">
        <v>13</v>
      </c>
      <c r="C16" s="9" t="s">
        <v>14</v>
      </c>
      <c r="D16" s="9" t="s">
        <v>15</v>
      </c>
      <c r="E16" s="9" t="s">
        <v>16</v>
      </c>
    </row>
    <row r="17" spans="1:5" ht="123.75" customHeight="1" x14ac:dyDescent="0.25">
      <c r="A17" s="10">
        <v>1</v>
      </c>
      <c r="B17" s="11" t="s">
        <v>485</v>
      </c>
      <c r="C17" s="11" t="s">
        <v>484</v>
      </c>
      <c r="D17" s="12" t="s">
        <v>483</v>
      </c>
      <c r="E17" s="13">
        <f>10791.13*2.4*1.2*0.805*4.27</f>
        <v>106827.52523183997</v>
      </c>
    </row>
    <row r="18" spans="1:5" ht="65.25" customHeight="1" x14ac:dyDescent="0.25">
      <c r="A18" s="10">
        <v>2</v>
      </c>
      <c r="B18" s="182" t="s">
        <v>17</v>
      </c>
      <c r="C18" s="12" t="s">
        <v>18</v>
      </c>
      <c r="D18" s="12" t="s">
        <v>469</v>
      </c>
      <c r="E18" s="13">
        <f>800*1*0.5*4.27</f>
        <v>1707.9999999999998</v>
      </c>
    </row>
    <row r="19" spans="1:5" ht="48" customHeight="1" x14ac:dyDescent="0.25">
      <c r="A19" s="10">
        <v>3</v>
      </c>
      <c r="B19" s="12" t="s">
        <v>20</v>
      </c>
      <c r="C19" s="15" t="s">
        <v>21</v>
      </c>
      <c r="D19" s="16">
        <f>(E17+E18)*0.1</f>
        <v>10853.552523183998</v>
      </c>
      <c r="E19" s="17">
        <f>D19</f>
        <v>10853.552523183998</v>
      </c>
    </row>
    <row r="20" spans="1:5" ht="48" customHeight="1" x14ac:dyDescent="0.25">
      <c r="A20" s="10">
        <v>4</v>
      </c>
      <c r="B20" s="119" t="s">
        <v>80</v>
      </c>
      <c r="C20" s="12" t="s">
        <v>89</v>
      </c>
      <c r="D20" s="16"/>
      <c r="E20" s="17">
        <v>14740.08</v>
      </c>
    </row>
    <row r="21" spans="1:5" ht="48" customHeight="1" x14ac:dyDescent="0.25">
      <c r="A21" s="10">
        <v>5</v>
      </c>
      <c r="B21" s="183" t="s">
        <v>23</v>
      </c>
      <c r="C21" s="12"/>
      <c r="D21" s="16"/>
      <c r="E21" s="17">
        <v>59763.87</v>
      </c>
    </row>
    <row r="22" spans="1:5" x14ac:dyDescent="0.25">
      <c r="A22" s="28">
        <v>6</v>
      </c>
      <c r="B22" s="19" t="s">
        <v>24</v>
      </c>
      <c r="C22" s="15"/>
      <c r="D22" s="15" t="s">
        <v>287</v>
      </c>
      <c r="E22" s="17">
        <f>E19+E18+E17+E20+E21</f>
        <v>193893.02775502397</v>
      </c>
    </row>
    <row r="23" spans="1:5" x14ac:dyDescent="0.25">
      <c r="A23" s="28">
        <v>7</v>
      </c>
      <c r="B23" s="19" t="s">
        <v>249</v>
      </c>
      <c r="C23" s="15"/>
      <c r="D23" s="15" t="s">
        <v>288</v>
      </c>
      <c r="E23" s="17">
        <f>ROUND(E22*20%,2)</f>
        <v>38778.61</v>
      </c>
    </row>
    <row r="24" spans="1:5" x14ac:dyDescent="0.25">
      <c r="A24" s="28">
        <v>8</v>
      </c>
      <c r="B24" s="19" t="s">
        <v>26</v>
      </c>
      <c r="C24" s="15"/>
      <c r="D24" s="15" t="s">
        <v>289</v>
      </c>
      <c r="E24" s="17">
        <f>E22+E23</f>
        <v>232671.63775502396</v>
      </c>
    </row>
    <row r="25" spans="1:5" x14ac:dyDescent="0.25">
      <c r="A25" s="20"/>
      <c r="B25" s="21"/>
      <c r="C25" s="22"/>
      <c r="D25" s="22"/>
      <c r="E25" s="23"/>
    </row>
    <row r="26" spans="1:5" x14ac:dyDescent="0.25">
      <c r="A26" s="1" t="s">
        <v>2</v>
      </c>
    </row>
    <row r="27" spans="1:5" x14ac:dyDescent="0.25">
      <c r="A27" s="1" t="s">
        <v>27</v>
      </c>
    </row>
    <row r="28" spans="1:5" x14ac:dyDescent="0.25">
      <c r="A28" s="1" t="s">
        <v>31</v>
      </c>
    </row>
    <row r="29" spans="1:5" x14ac:dyDescent="0.25">
      <c r="A29" s="4" t="s">
        <v>28</v>
      </c>
    </row>
    <row r="30" spans="1:5" x14ac:dyDescent="0.25">
      <c r="A30" s="1" t="s">
        <v>352</v>
      </c>
    </row>
    <row r="34" spans="5:5" x14ac:dyDescent="0.25">
      <c r="E34" s="1" t="s">
        <v>30</v>
      </c>
    </row>
  </sheetData>
  <mergeCells count="3">
    <mergeCell ref="B1:D1"/>
    <mergeCell ref="A11:E11"/>
    <mergeCell ref="A14:E14"/>
  </mergeCells>
  <pageMargins left="0.19685039370078741" right="0.19685039370078741" top="0.19685039370078741" bottom="0.19685039370078741" header="0.51181102362204722" footer="0.51181102362204722"/>
  <pageSetup paperSize="9" orientation="portrait" r:id="rId1"/>
  <headerFooter alignWithMargins="0"/>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44"/>
  <sheetViews>
    <sheetView topLeftCell="A7" zoomScaleNormal="100" workbookViewId="0">
      <selection activeCell="J49" sqref="J49"/>
    </sheetView>
  </sheetViews>
  <sheetFormatPr defaultColWidth="11.5703125" defaultRowHeight="12.75" x14ac:dyDescent="0.2"/>
  <cols>
    <col min="1" max="1" width="3.7109375" style="50" customWidth="1"/>
    <col min="2" max="2" width="10.7109375" style="50" customWidth="1"/>
    <col min="3" max="3" width="10.28515625" style="50" customWidth="1"/>
    <col min="4" max="6" width="9.28515625" style="50" customWidth="1"/>
    <col min="7" max="7" width="19.42578125" style="50" customWidth="1"/>
    <col min="8" max="8" width="16.5703125" style="50" customWidth="1"/>
    <col min="9" max="9" width="13.5703125" style="50" customWidth="1"/>
    <col min="10" max="10" width="19.7109375" style="51" customWidth="1"/>
    <col min="11" max="256" width="11.5703125" style="51"/>
    <col min="257" max="257" width="3.7109375" style="51" customWidth="1"/>
    <col min="258" max="259" width="10.7109375" style="51" customWidth="1"/>
    <col min="260" max="263" width="9.28515625" style="51" customWidth="1"/>
    <col min="264" max="264" width="14.5703125" style="51" customWidth="1"/>
    <col min="265" max="265" width="17.7109375" style="51" customWidth="1"/>
    <col min="266" max="266" width="19.7109375" style="51" customWidth="1"/>
    <col min="267" max="512" width="11.5703125" style="51"/>
    <col min="513" max="513" width="3.7109375" style="51" customWidth="1"/>
    <col min="514" max="515" width="10.7109375" style="51" customWidth="1"/>
    <col min="516" max="519" width="9.28515625" style="51" customWidth="1"/>
    <col min="520" max="520" width="14.5703125" style="51" customWidth="1"/>
    <col min="521" max="521" width="17.7109375" style="51" customWidth="1"/>
    <col min="522" max="522" width="19.7109375" style="51" customWidth="1"/>
    <col min="523" max="768" width="11.5703125" style="51"/>
    <col min="769" max="769" width="3.7109375" style="51" customWidth="1"/>
    <col min="770" max="771" width="10.7109375" style="51" customWidth="1"/>
    <col min="772" max="775" width="9.28515625" style="51" customWidth="1"/>
    <col min="776" max="776" width="14.5703125" style="51" customWidth="1"/>
    <col min="777" max="777" width="17.7109375" style="51" customWidth="1"/>
    <col min="778" max="778" width="19.7109375" style="51" customWidth="1"/>
    <col min="779" max="1024" width="11.5703125" style="51"/>
    <col min="1025" max="1025" width="3.7109375" style="51" customWidth="1"/>
    <col min="1026" max="1027" width="10.7109375" style="51" customWidth="1"/>
    <col min="1028" max="1031" width="9.28515625" style="51" customWidth="1"/>
    <col min="1032" max="1032" width="14.5703125" style="51" customWidth="1"/>
    <col min="1033" max="1033" width="17.7109375" style="51" customWidth="1"/>
    <col min="1034" max="1034" width="19.7109375" style="51" customWidth="1"/>
    <col min="1035" max="1280" width="11.5703125" style="51"/>
    <col min="1281" max="1281" width="3.7109375" style="51" customWidth="1"/>
    <col min="1282" max="1283" width="10.7109375" style="51" customWidth="1"/>
    <col min="1284" max="1287" width="9.28515625" style="51" customWidth="1"/>
    <col min="1288" max="1288" width="14.5703125" style="51" customWidth="1"/>
    <col min="1289" max="1289" width="17.7109375" style="51" customWidth="1"/>
    <col min="1290" max="1290" width="19.7109375" style="51" customWidth="1"/>
    <col min="1291" max="1536" width="11.5703125" style="51"/>
    <col min="1537" max="1537" width="3.7109375" style="51" customWidth="1"/>
    <col min="1538" max="1539" width="10.7109375" style="51" customWidth="1"/>
    <col min="1540" max="1543" width="9.28515625" style="51" customWidth="1"/>
    <col min="1544" max="1544" width="14.5703125" style="51" customWidth="1"/>
    <col min="1545" max="1545" width="17.7109375" style="51" customWidth="1"/>
    <col min="1546" max="1546" width="19.7109375" style="51" customWidth="1"/>
    <col min="1547" max="1792" width="11.5703125" style="51"/>
    <col min="1793" max="1793" width="3.7109375" style="51" customWidth="1"/>
    <col min="1794" max="1795" width="10.7109375" style="51" customWidth="1"/>
    <col min="1796" max="1799" width="9.28515625" style="51" customWidth="1"/>
    <col min="1800" max="1800" width="14.5703125" style="51" customWidth="1"/>
    <col min="1801" max="1801" width="17.7109375" style="51" customWidth="1"/>
    <col min="1802" max="1802" width="19.7109375" style="51" customWidth="1"/>
    <col min="1803" max="2048" width="11.5703125" style="51"/>
    <col min="2049" max="2049" width="3.7109375" style="51" customWidth="1"/>
    <col min="2050" max="2051" width="10.7109375" style="51" customWidth="1"/>
    <col min="2052" max="2055" width="9.28515625" style="51" customWidth="1"/>
    <col min="2056" max="2056" width="14.5703125" style="51" customWidth="1"/>
    <col min="2057" max="2057" width="17.7109375" style="51" customWidth="1"/>
    <col min="2058" max="2058" width="19.7109375" style="51" customWidth="1"/>
    <col min="2059" max="2304" width="11.5703125" style="51"/>
    <col min="2305" max="2305" width="3.7109375" style="51" customWidth="1"/>
    <col min="2306" max="2307" width="10.7109375" style="51" customWidth="1"/>
    <col min="2308" max="2311" width="9.28515625" style="51" customWidth="1"/>
    <col min="2312" max="2312" width="14.5703125" style="51" customWidth="1"/>
    <col min="2313" max="2313" width="17.7109375" style="51" customWidth="1"/>
    <col min="2314" max="2314" width="19.7109375" style="51" customWidth="1"/>
    <col min="2315" max="2560" width="11.5703125" style="51"/>
    <col min="2561" max="2561" width="3.7109375" style="51" customWidth="1"/>
    <col min="2562" max="2563" width="10.7109375" style="51" customWidth="1"/>
    <col min="2564" max="2567" width="9.28515625" style="51" customWidth="1"/>
    <col min="2568" max="2568" width="14.5703125" style="51" customWidth="1"/>
    <col min="2569" max="2569" width="17.7109375" style="51" customWidth="1"/>
    <col min="2570" max="2570" width="19.7109375" style="51" customWidth="1"/>
    <col min="2571" max="2816" width="11.5703125" style="51"/>
    <col min="2817" max="2817" width="3.7109375" style="51" customWidth="1"/>
    <col min="2818" max="2819" width="10.7109375" style="51" customWidth="1"/>
    <col min="2820" max="2823" width="9.28515625" style="51" customWidth="1"/>
    <col min="2824" max="2824" width="14.5703125" style="51" customWidth="1"/>
    <col min="2825" max="2825" width="17.7109375" style="51" customWidth="1"/>
    <col min="2826" max="2826" width="19.7109375" style="51" customWidth="1"/>
    <col min="2827" max="3072" width="11.5703125" style="51"/>
    <col min="3073" max="3073" width="3.7109375" style="51" customWidth="1"/>
    <col min="3074" max="3075" width="10.7109375" style="51" customWidth="1"/>
    <col min="3076" max="3079" width="9.28515625" style="51" customWidth="1"/>
    <col min="3080" max="3080" width="14.5703125" style="51" customWidth="1"/>
    <col min="3081" max="3081" width="17.7109375" style="51" customWidth="1"/>
    <col min="3082" max="3082" width="19.7109375" style="51" customWidth="1"/>
    <col min="3083" max="3328" width="11.5703125" style="51"/>
    <col min="3329" max="3329" width="3.7109375" style="51" customWidth="1"/>
    <col min="3330" max="3331" width="10.7109375" style="51" customWidth="1"/>
    <col min="3332" max="3335" width="9.28515625" style="51" customWidth="1"/>
    <col min="3336" max="3336" width="14.5703125" style="51" customWidth="1"/>
    <col min="3337" max="3337" width="17.7109375" style="51" customWidth="1"/>
    <col min="3338" max="3338" width="19.7109375" style="51" customWidth="1"/>
    <col min="3339" max="3584" width="11.5703125" style="51"/>
    <col min="3585" max="3585" width="3.7109375" style="51" customWidth="1"/>
    <col min="3586" max="3587" width="10.7109375" style="51" customWidth="1"/>
    <col min="3588" max="3591" width="9.28515625" style="51" customWidth="1"/>
    <col min="3592" max="3592" width="14.5703125" style="51" customWidth="1"/>
    <col min="3593" max="3593" width="17.7109375" style="51" customWidth="1"/>
    <col min="3594" max="3594" width="19.7109375" style="51" customWidth="1"/>
    <col min="3595" max="3840" width="11.5703125" style="51"/>
    <col min="3841" max="3841" width="3.7109375" style="51" customWidth="1"/>
    <col min="3842" max="3843" width="10.7109375" style="51" customWidth="1"/>
    <col min="3844" max="3847" width="9.28515625" style="51" customWidth="1"/>
    <col min="3848" max="3848" width="14.5703125" style="51" customWidth="1"/>
    <col min="3849" max="3849" width="17.7109375" style="51" customWidth="1"/>
    <col min="3850" max="3850" width="19.7109375" style="51" customWidth="1"/>
    <col min="3851" max="4096" width="11.5703125" style="51"/>
    <col min="4097" max="4097" width="3.7109375" style="51" customWidth="1"/>
    <col min="4098" max="4099" width="10.7109375" style="51" customWidth="1"/>
    <col min="4100" max="4103" width="9.28515625" style="51" customWidth="1"/>
    <col min="4104" max="4104" width="14.5703125" style="51" customWidth="1"/>
    <col min="4105" max="4105" width="17.7109375" style="51" customWidth="1"/>
    <col min="4106" max="4106" width="19.7109375" style="51" customWidth="1"/>
    <col min="4107" max="4352" width="11.5703125" style="51"/>
    <col min="4353" max="4353" width="3.7109375" style="51" customWidth="1"/>
    <col min="4354" max="4355" width="10.7109375" style="51" customWidth="1"/>
    <col min="4356" max="4359" width="9.28515625" style="51" customWidth="1"/>
    <col min="4360" max="4360" width="14.5703125" style="51" customWidth="1"/>
    <col min="4361" max="4361" width="17.7109375" style="51" customWidth="1"/>
    <col min="4362" max="4362" width="19.7109375" style="51" customWidth="1"/>
    <col min="4363" max="4608" width="11.5703125" style="51"/>
    <col min="4609" max="4609" width="3.7109375" style="51" customWidth="1"/>
    <col min="4610" max="4611" width="10.7109375" style="51" customWidth="1"/>
    <col min="4612" max="4615" width="9.28515625" style="51" customWidth="1"/>
    <col min="4616" max="4616" width="14.5703125" style="51" customWidth="1"/>
    <col min="4617" max="4617" width="17.7109375" style="51" customWidth="1"/>
    <col min="4618" max="4618" width="19.7109375" style="51" customWidth="1"/>
    <col min="4619" max="4864" width="11.5703125" style="51"/>
    <col min="4865" max="4865" width="3.7109375" style="51" customWidth="1"/>
    <col min="4866" max="4867" width="10.7109375" style="51" customWidth="1"/>
    <col min="4868" max="4871" width="9.28515625" style="51" customWidth="1"/>
    <col min="4872" max="4872" width="14.5703125" style="51" customWidth="1"/>
    <col min="4873" max="4873" width="17.7109375" style="51" customWidth="1"/>
    <col min="4874" max="4874" width="19.7109375" style="51" customWidth="1"/>
    <col min="4875" max="5120" width="11.5703125" style="51"/>
    <col min="5121" max="5121" width="3.7109375" style="51" customWidth="1"/>
    <col min="5122" max="5123" width="10.7109375" style="51" customWidth="1"/>
    <col min="5124" max="5127" width="9.28515625" style="51" customWidth="1"/>
    <col min="5128" max="5128" width="14.5703125" style="51" customWidth="1"/>
    <col min="5129" max="5129" width="17.7109375" style="51" customWidth="1"/>
    <col min="5130" max="5130" width="19.7109375" style="51" customWidth="1"/>
    <col min="5131" max="5376" width="11.5703125" style="51"/>
    <col min="5377" max="5377" width="3.7109375" style="51" customWidth="1"/>
    <col min="5378" max="5379" width="10.7109375" style="51" customWidth="1"/>
    <col min="5380" max="5383" width="9.28515625" style="51" customWidth="1"/>
    <col min="5384" max="5384" width="14.5703125" style="51" customWidth="1"/>
    <col min="5385" max="5385" width="17.7109375" style="51" customWidth="1"/>
    <col min="5386" max="5386" width="19.7109375" style="51" customWidth="1"/>
    <col min="5387" max="5632" width="11.5703125" style="51"/>
    <col min="5633" max="5633" width="3.7109375" style="51" customWidth="1"/>
    <col min="5634" max="5635" width="10.7109375" style="51" customWidth="1"/>
    <col min="5636" max="5639" width="9.28515625" style="51" customWidth="1"/>
    <col min="5640" max="5640" width="14.5703125" style="51" customWidth="1"/>
    <col min="5641" max="5641" width="17.7109375" style="51" customWidth="1"/>
    <col min="5642" max="5642" width="19.7109375" style="51" customWidth="1"/>
    <col min="5643" max="5888" width="11.5703125" style="51"/>
    <col min="5889" max="5889" width="3.7109375" style="51" customWidth="1"/>
    <col min="5890" max="5891" width="10.7109375" style="51" customWidth="1"/>
    <col min="5892" max="5895" width="9.28515625" style="51" customWidth="1"/>
    <col min="5896" max="5896" width="14.5703125" style="51" customWidth="1"/>
    <col min="5897" max="5897" width="17.7109375" style="51" customWidth="1"/>
    <col min="5898" max="5898" width="19.7109375" style="51" customWidth="1"/>
    <col min="5899" max="6144" width="11.5703125" style="51"/>
    <col min="6145" max="6145" width="3.7109375" style="51" customWidth="1"/>
    <col min="6146" max="6147" width="10.7109375" style="51" customWidth="1"/>
    <col min="6148" max="6151" width="9.28515625" style="51" customWidth="1"/>
    <col min="6152" max="6152" width="14.5703125" style="51" customWidth="1"/>
    <col min="6153" max="6153" width="17.7109375" style="51" customWidth="1"/>
    <col min="6154" max="6154" width="19.7109375" style="51" customWidth="1"/>
    <col min="6155" max="6400" width="11.5703125" style="51"/>
    <col min="6401" max="6401" width="3.7109375" style="51" customWidth="1"/>
    <col min="6402" max="6403" width="10.7109375" style="51" customWidth="1"/>
    <col min="6404" max="6407" width="9.28515625" style="51" customWidth="1"/>
    <col min="6408" max="6408" width="14.5703125" style="51" customWidth="1"/>
    <col min="6409" max="6409" width="17.7109375" style="51" customWidth="1"/>
    <col min="6410" max="6410" width="19.7109375" style="51" customWidth="1"/>
    <col min="6411" max="6656" width="11.5703125" style="51"/>
    <col min="6657" max="6657" width="3.7109375" style="51" customWidth="1"/>
    <col min="6658" max="6659" width="10.7109375" style="51" customWidth="1"/>
    <col min="6660" max="6663" width="9.28515625" style="51" customWidth="1"/>
    <col min="6664" max="6664" width="14.5703125" style="51" customWidth="1"/>
    <col min="6665" max="6665" width="17.7109375" style="51" customWidth="1"/>
    <col min="6666" max="6666" width="19.7109375" style="51" customWidth="1"/>
    <col min="6667" max="6912" width="11.5703125" style="51"/>
    <col min="6913" max="6913" width="3.7109375" style="51" customWidth="1"/>
    <col min="6914" max="6915" width="10.7109375" style="51" customWidth="1"/>
    <col min="6916" max="6919" width="9.28515625" style="51" customWidth="1"/>
    <col min="6920" max="6920" width="14.5703125" style="51" customWidth="1"/>
    <col min="6921" max="6921" width="17.7109375" style="51" customWidth="1"/>
    <col min="6922" max="6922" width="19.7109375" style="51" customWidth="1"/>
    <col min="6923" max="7168" width="11.5703125" style="51"/>
    <col min="7169" max="7169" width="3.7109375" style="51" customWidth="1"/>
    <col min="7170" max="7171" width="10.7109375" style="51" customWidth="1"/>
    <col min="7172" max="7175" width="9.28515625" style="51" customWidth="1"/>
    <col min="7176" max="7176" width="14.5703125" style="51" customWidth="1"/>
    <col min="7177" max="7177" width="17.7109375" style="51" customWidth="1"/>
    <col min="7178" max="7178" width="19.7109375" style="51" customWidth="1"/>
    <col min="7179" max="7424" width="11.5703125" style="51"/>
    <col min="7425" max="7425" width="3.7109375" style="51" customWidth="1"/>
    <col min="7426" max="7427" width="10.7109375" style="51" customWidth="1"/>
    <col min="7428" max="7431" width="9.28515625" style="51" customWidth="1"/>
    <col min="7432" max="7432" width="14.5703125" style="51" customWidth="1"/>
    <col min="7433" max="7433" width="17.7109375" style="51" customWidth="1"/>
    <col min="7434" max="7434" width="19.7109375" style="51" customWidth="1"/>
    <col min="7435" max="7680" width="11.5703125" style="51"/>
    <col min="7681" max="7681" width="3.7109375" style="51" customWidth="1"/>
    <col min="7682" max="7683" width="10.7109375" style="51" customWidth="1"/>
    <col min="7684" max="7687" width="9.28515625" style="51" customWidth="1"/>
    <col min="7688" max="7688" width="14.5703125" style="51" customWidth="1"/>
    <col min="7689" max="7689" width="17.7109375" style="51" customWidth="1"/>
    <col min="7690" max="7690" width="19.7109375" style="51" customWidth="1"/>
    <col min="7691" max="7936" width="11.5703125" style="51"/>
    <col min="7937" max="7937" width="3.7109375" style="51" customWidth="1"/>
    <col min="7938" max="7939" width="10.7109375" style="51" customWidth="1"/>
    <col min="7940" max="7943" width="9.28515625" style="51" customWidth="1"/>
    <col min="7944" max="7944" width="14.5703125" style="51" customWidth="1"/>
    <col min="7945" max="7945" width="17.7109375" style="51" customWidth="1"/>
    <col min="7946" max="7946" width="19.7109375" style="51" customWidth="1"/>
    <col min="7947" max="8192" width="11.5703125" style="51"/>
    <col min="8193" max="8193" width="3.7109375" style="51" customWidth="1"/>
    <col min="8194" max="8195" width="10.7109375" style="51" customWidth="1"/>
    <col min="8196" max="8199" width="9.28515625" style="51" customWidth="1"/>
    <col min="8200" max="8200" width="14.5703125" style="51" customWidth="1"/>
    <col min="8201" max="8201" width="17.7109375" style="51" customWidth="1"/>
    <col min="8202" max="8202" width="19.7109375" style="51" customWidth="1"/>
    <col min="8203" max="8448" width="11.5703125" style="51"/>
    <col min="8449" max="8449" width="3.7109375" style="51" customWidth="1"/>
    <col min="8450" max="8451" width="10.7109375" style="51" customWidth="1"/>
    <col min="8452" max="8455" width="9.28515625" style="51" customWidth="1"/>
    <col min="8456" max="8456" width="14.5703125" style="51" customWidth="1"/>
    <col min="8457" max="8457" width="17.7109375" style="51" customWidth="1"/>
    <col min="8458" max="8458" width="19.7109375" style="51" customWidth="1"/>
    <col min="8459" max="8704" width="11.5703125" style="51"/>
    <col min="8705" max="8705" width="3.7109375" style="51" customWidth="1"/>
    <col min="8706" max="8707" width="10.7109375" style="51" customWidth="1"/>
    <col min="8708" max="8711" width="9.28515625" style="51" customWidth="1"/>
    <col min="8712" max="8712" width="14.5703125" style="51" customWidth="1"/>
    <col min="8713" max="8713" width="17.7109375" style="51" customWidth="1"/>
    <col min="8714" max="8714" width="19.7109375" style="51" customWidth="1"/>
    <col min="8715" max="8960" width="11.5703125" style="51"/>
    <col min="8961" max="8961" width="3.7109375" style="51" customWidth="1"/>
    <col min="8962" max="8963" width="10.7109375" style="51" customWidth="1"/>
    <col min="8964" max="8967" width="9.28515625" style="51" customWidth="1"/>
    <col min="8968" max="8968" width="14.5703125" style="51" customWidth="1"/>
    <col min="8969" max="8969" width="17.7109375" style="51" customWidth="1"/>
    <col min="8970" max="8970" width="19.7109375" style="51" customWidth="1"/>
    <col min="8971" max="9216" width="11.5703125" style="51"/>
    <col min="9217" max="9217" width="3.7109375" style="51" customWidth="1"/>
    <col min="9218" max="9219" width="10.7109375" style="51" customWidth="1"/>
    <col min="9220" max="9223" width="9.28515625" style="51" customWidth="1"/>
    <col min="9224" max="9224" width="14.5703125" style="51" customWidth="1"/>
    <col min="9225" max="9225" width="17.7109375" style="51" customWidth="1"/>
    <col min="9226" max="9226" width="19.7109375" style="51" customWidth="1"/>
    <col min="9227" max="9472" width="11.5703125" style="51"/>
    <col min="9473" max="9473" width="3.7109375" style="51" customWidth="1"/>
    <col min="9474" max="9475" width="10.7109375" style="51" customWidth="1"/>
    <col min="9476" max="9479" width="9.28515625" style="51" customWidth="1"/>
    <col min="9480" max="9480" width="14.5703125" style="51" customWidth="1"/>
    <col min="9481" max="9481" width="17.7109375" style="51" customWidth="1"/>
    <col min="9482" max="9482" width="19.7109375" style="51" customWidth="1"/>
    <col min="9483" max="9728" width="11.5703125" style="51"/>
    <col min="9729" max="9729" width="3.7109375" style="51" customWidth="1"/>
    <col min="9730" max="9731" width="10.7109375" style="51" customWidth="1"/>
    <col min="9732" max="9735" width="9.28515625" style="51" customWidth="1"/>
    <col min="9736" max="9736" width="14.5703125" style="51" customWidth="1"/>
    <col min="9737" max="9737" width="17.7109375" style="51" customWidth="1"/>
    <col min="9738" max="9738" width="19.7109375" style="51" customWidth="1"/>
    <col min="9739" max="9984" width="11.5703125" style="51"/>
    <col min="9985" max="9985" width="3.7109375" style="51" customWidth="1"/>
    <col min="9986" max="9987" width="10.7109375" style="51" customWidth="1"/>
    <col min="9988" max="9991" width="9.28515625" style="51" customWidth="1"/>
    <col min="9992" max="9992" width="14.5703125" style="51" customWidth="1"/>
    <col min="9993" max="9993" width="17.7109375" style="51" customWidth="1"/>
    <col min="9994" max="9994" width="19.7109375" style="51" customWidth="1"/>
    <col min="9995" max="10240" width="11.5703125" style="51"/>
    <col min="10241" max="10241" width="3.7109375" style="51" customWidth="1"/>
    <col min="10242" max="10243" width="10.7109375" style="51" customWidth="1"/>
    <col min="10244" max="10247" width="9.28515625" style="51" customWidth="1"/>
    <col min="10248" max="10248" width="14.5703125" style="51" customWidth="1"/>
    <col min="10249" max="10249" width="17.7109375" style="51" customWidth="1"/>
    <col min="10250" max="10250" width="19.7109375" style="51" customWidth="1"/>
    <col min="10251" max="10496" width="11.5703125" style="51"/>
    <col min="10497" max="10497" width="3.7109375" style="51" customWidth="1"/>
    <col min="10498" max="10499" width="10.7109375" style="51" customWidth="1"/>
    <col min="10500" max="10503" width="9.28515625" style="51" customWidth="1"/>
    <col min="10504" max="10504" width="14.5703125" style="51" customWidth="1"/>
    <col min="10505" max="10505" width="17.7109375" style="51" customWidth="1"/>
    <col min="10506" max="10506" width="19.7109375" style="51" customWidth="1"/>
    <col min="10507" max="10752" width="11.5703125" style="51"/>
    <col min="10753" max="10753" width="3.7109375" style="51" customWidth="1"/>
    <col min="10754" max="10755" width="10.7109375" style="51" customWidth="1"/>
    <col min="10756" max="10759" width="9.28515625" style="51" customWidth="1"/>
    <col min="10760" max="10760" width="14.5703125" style="51" customWidth="1"/>
    <col min="10761" max="10761" width="17.7109375" style="51" customWidth="1"/>
    <col min="10762" max="10762" width="19.7109375" style="51" customWidth="1"/>
    <col min="10763" max="11008" width="11.5703125" style="51"/>
    <col min="11009" max="11009" width="3.7109375" style="51" customWidth="1"/>
    <col min="11010" max="11011" width="10.7109375" style="51" customWidth="1"/>
    <col min="11012" max="11015" width="9.28515625" style="51" customWidth="1"/>
    <col min="11016" max="11016" width="14.5703125" style="51" customWidth="1"/>
    <col min="11017" max="11017" width="17.7109375" style="51" customWidth="1"/>
    <col min="11018" max="11018" width="19.7109375" style="51" customWidth="1"/>
    <col min="11019" max="11264" width="11.5703125" style="51"/>
    <col min="11265" max="11265" width="3.7109375" style="51" customWidth="1"/>
    <col min="11266" max="11267" width="10.7109375" style="51" customWidth="1"/>
    <col min="11268" max="11271" width="9.28515625" style="51" customWidth="1"/>
    <col min="11272" max="11272" width="14.5703125" style="51" customWidth="1"/>
    <col min="11273" max="11273" width="17.7109375" style="51" customWidth="1"/>
    <col min="11274" max="11274" width="19.7109375" style="51" customWidth="1"/>
    <col min="11275" max="11520" width="11.5703125" style="51"/>
    <col min="11521" max="11521" width="3.7109375" style="51" customWidth="1"/>
    <col min="11522" max="11523" width="10.7109375" style="51" customWidth="1"/>
    <col min="11524" max="11527" width="9.28515625" style="51" customWidth="1"/>
    <col min="11528" max="11528" width="14.5703125" style="51" customWidth="1"/>
    <col min="11529" max="11529" width="17.7109375" style="51" customWidth="1"/>
    <col min="11530" max="11530" width="19.7109375" style="51" customWidth="1"/>
    <col min="11531" max="11776" width="11.5703125" style="51"/>
    <col min="11777" max="11777" width="3.7109375" style="51" customWidth="1"/>
    <col min="11778" max="11779" width="10.7109375" style="51" customWidth="1"/>
    <col min="11780" max="11783" width="9.28515625" style="51" customWidth="1"/>
    <col min="11784" max="11784" width="14.5703125" style="51" customWidth="1"/>
    <col min="11785" max="11785" width="17.7109375" style="51" customWidth="1"/>
    <col min="11786" max="11786" width="19.7109375" style="51" customWidth="1"/>
    <col min="11787" max="12032" width="11.5703125" style="51"/>
    <col min="12033" max="12033" width="3.7109375" style="51" customWidth="1"/>
    <col min="12034" max="12035" width="10.7109375" style="51" customWidth="1"/>
    <col min="12036" max="12039" width="9.28515625" style="51" customWidth="1"/>
    <col min="12040" max="12040" width="14.5703125" style="51" customWidth="1"/>
    <col min="12041" max="12041" width="17.7109375" style="51" customWidth="1"/>
    <col min="12042" max="12042" width="19.7109375" style="51" customWidth="1"/>
    <col min="12043" max="12288" width="11.5703125" style="51"/>
    <col min="12289" max="12289" width="3.7109375" style="51" customWidth="1"/>
    <col min="12290" max="12291" width="10.7109375" style="51" customWidth="1"/>
    <col min="12292" max="12295" width="9.28515625" style="51" customWidth="1"/>
    <col min="12296" max="12296" width="14.5703125" style="51" customWidth="1"/>
    <col min="12297" max="12297" width="17.7109375" style="51" customWidth="1"/>
    <col min="12298" max="12298" width="19.7109375" style="51" customWidth="1"/>
    <col min="12299" max="12544" width="11.5703125" style="51"/>
    <col min="12545" max="12545" width="3.7109375" style="51" customWidth="1"/>
    <col min="12546" max="12547" width="10.7109375" style="51" customWidth="1"/>
    <col min="12548" max="12551" width="9.28515625" style="51" customWidth="1"/>
    <col min="12552" max="12552" width="14.5703125" style="51" customWidth="1"/>
    <col min="12553" max="12553" width="17.7109375" style="51" customWidth="1"/>
    <col min="12554" max="12554" width="19.7109375" style="51" customWidth="1"/>
    <col min="12555" max="12800" width="11.5703125" style="51"/>
    <col min="12801" max="12801" width="3.7109375" style="51" customWidth="1"/>
    <col min="12802" max="12803" width="10.7109375" style="51" customWidth="1"/>
    <col min="12804" max="12807" width="9.28515625" style="51" customWidth="1"/>
    <col min="12808" max="12808" width="14.5703125" style="51" customWidth="1"/>
    <col min="12809" max="12809" width="17.7109375" style="51" customWidth="1"/>
    <col min="12810" max="12810" width="19.7109375" style="51" customWidth="1"/>
    <col min="12811" max="13056" width="11.5703125" style="51"/>
    <col min="13057" max="13057" width="3.7109375" style="51" customWidth="1"/>
    <col min="13058" max="13059" width="10.7109375" style="51" customWidth="1"/>
    <col min="13060" max="13063" width="9.28515625" style="51" customWidth="1"/>
    <col min="13064" max="13064" width="14.5703125" style="51" customWidth="1"/>
    <col min="13065" max="13065" width="17.7109375" style="51" customWidth="1"/>
    <col min="13066" max="13066" width="19.7109375" style="51" customWidth="1"/>
    <col min="13067" max="13312" width="11.5703125" style="51"/>
    <col min="13313" max="13313" width="3.7109375" style="51" customWidth="1"/>
    <col min="13314" max="13315" width="10.7109375" style="51" customWidth="1"/>
    <col min="13316" max="13319" width="9.28515625" style="51" customWidth="1"/>
    <col min="13320" max="13320" width="14.5703125" style="51" customWidth="1"/>
    <col min="13321" max="13321" width="17.7109375" style="51" customWidth="1"/>
    <col min="13322" max="13322" width="19.7109375" style="51" customWidth="1"/>
    <col min="13323" max="13568" width="11.5703125" style="51"/>
    <col min="13569" max="13569" width="3.7109375" style="51" customWidth="1"/>
    <col min="13570" max="13571" width="10.7109375" style="51" customWidth="1"/>
    <col min="13572" max="13575" width="9.28515625" style="51" customWidth="1"/>
    <col min="13576" max="13576" width="14.5703125" style="51" customWidth="1"/>
    <col min="13577" max="13577" width="17.7109375" style="51" customWidth="1"/>
    <col min="13578" max="13578" width="19.7109375" style="51" customWidth="1"/>
    <col min="13579" max="13824" width="11.5703125" style="51"/>
    <col min="13825" max="13825" width="3.7109375" style="51" customWidth="1"/>
    <col min="13826" max="13827" width="10.7109375" style="51" customWidth="1"/>
    <col min="13828" max="13831" width="9.28515625" style="51" customWidth="1"/>
    <col min="13832" max="13832" width="14.5703125" style="51" customWidth="1"/>
    <col min="13833" max="13833" width="17.7109375" style="51" customWidth="1"/>
    <col min="13834" max="13834" width="19.7109375" style="51" customWidth="1"/>
    <col min="13835" max="14080" width="11.5703125" style="51"/>
    <col min="14081" max="14081" width="3.7109375" style="51" customWidth="1"/>
    <col min="14082" max="14083" width="10.7109375" style="51" customWidth="1"/>
    <col min="14084" max="14087" width="9.28515625" style="51" customWidth="1"/>
    <col min="14088" max="14088" width="14.5703125" style="51" customWidth="1"/>
    <col min="14089" max="14089" width="17.7109375" style="51" customWidth="1"/>
    <col min="14090" max="14090" width="19.7109375" style="51" customWidth="1"/>
    <col min="14091" max="14336" width="11.5703125" style="51"/>
    <col min="14337" max="14337" width="3.7109375" style="51" customWidth="1"/>
    <col min="14338" max="14339" width="10.7109375" style="51" customWidth="1"/>
    <col min="14340" max="14343" width="9.28515625" style="51" customWidth="1"/>
    <col min="14344" max="14344" width="14.5703125" style="51" customWidth="1"/>
    <col min="14345" max="14345" width="17.7109375" style="51" customWidth="1"/>
    <col min="14346" max="14346" width="19.7109375" style="51" customWidth="1"/>
    <col min="14347" max="14592" width="11.5703125" style="51"/>
    <col min="14593" max="14593" width="3.7109375" style="51" customWidth="1"/>
    <col min="14594" max="14595" width="10.7109375" style="51" customWidth="1"/>
    <col min="14596" max="14599" width="9.28515625" style="51" customWidth="1"/>
    <col min="14600" max="14600" width="14.5703125" style="51" customWidth="1"/>
    <col min="14601" max="14601" width="17.7109375" style="51" customWidth="1"/>
    <col min="14602" max="14602" width="19.7109375" style="51" customWidth="1"/>
    <col min="14603" max="14848" width="11.5703125" style="51"/>
    <col min="14849" max="14849" width="3.7109375" style="51" customWidth="1"/>
    <col min="14850" max="14851" width="10.7109375" style="51" customWidth="1"/>
    <col min="14852" max="14855" width="9.28515625" style="51" customWidth="1"/>
    <col min="14856" max="14856" width="14.5703125" style="51" customWidth="1"/>
    <col min="14857" max="14857" width="17.7109375" style="51" customWidth="1"/>
    <col min="14858" max="14858" width="19.7109375" style="51" customWidth="1"/>
    <col min="14859" max="15104" width="11.5703125" style="51"/>
    <col min="15105" max="15105" width="3.7109375" style="51" customWidth="1"/>
    <col min="15106" max="15107" width="10.7109375" style="51" customWidth="1"/>
    <col min="15108" max="15111" width="9.28515625" style="51" customWidth="1"/>
    <col min="15112" max="15112" width="14.5703125" style="51" customWidth="1"/>
    <col min="15113" max="15113" width="17.7109375" style="51" customWidth="1"/>
    <col min="15114" max="15114" width="19.7109375" style="51" customWidth="1"/>
    <col min="15115" max="15360" width="11.5703125" style="51"/>
    <col min="15361" max="15361" width="3.7109375" style="51" customWidth="1"/>
    <col min="15362" max="15363" width="10.7109375" style="51" customWidth="1"/>
    <col min="15364" max="15367" width="9.28515625" style="51" customWidth="1"/>
    <col min="15368" max="15368" width="14.5703125" style="51" customWidth="1"/>
    <col min="15369" max="15369" width="17.7109375" style="51" customWidth="1"/>
    <col min="15370" max="15370" width="19.7109375" style="51" customWidth="1"/>
    <col min="15371" max="15616" width="11.5703125" style="51"/>
    <col min="15617" max="15617" width="3.7109375" style="51" customWidth="1"/>
    <col min="15618" max="15619" width="10.7109375" style="51" customWidth="1"/>
    <col min="15620" max="15623" width="9.28515625" style="51" customWidth="1"/>
    <col min="15624" max="15624" width="14.5703125" style="51" customWidth="1"/>
    <col min="15625" max="15625" width="17.7109375" style="51" customWidth="1"/>
    <col min="15626" max="15626" width="19.7109375" style="51" customWidth="1"/>
    <col min="15627" max="15872" width="11.5703125" style="51"/>
    <col min="15873" max="15873" width="3.7109375" style="51" customWidth="1"/>
    <col min="15874" max="15875" width="10.7109375" style="51" customWidth="1"/>
    <col min="15876" max="15879" width="9.28515625" style="51" customWidth="1"/>
    <col min="15880" max="15880" width="14.5703125" style="51" customWidth="1"/>
    <col min="15881" max="15881" width="17.7109375" style="51" customWidth="1"/>
    <col min="15882" max="15882" width="19.7109375" style="51" customWidth="1"/>
    <col min="15883" max="16128" width="11.5703125" style="51"/>
    <col min="16129" max="16129" width="3.7109375" style="51" customWidth="1"/>
    <col min="16130" max="16131" width="10.7109375" style="51" customWidth="1"/>
    <col min="16132" max="16135" width="9.28515625" style="51" customWidth="1"/>
    <col min="16136" max="16136" width="14.5703125" style="51" customWidth="1"/>
    <col min="16137" max="16137" width="17.7109375" style="51" customWidth="1"/>
    <col min="16138" max="16138" width="19.7109375" style="51" customWidth="1"/>
    <col min="16139" max="16384" width="11.5703125" style="51"/>
  </cols>
  <sheetData>
    <row r="1" spans="1:256" ht="12.75" customHeight="1" x14ac:dyDescent="0.2">
      <c r="C1" s="199" t="s">
        <v>455</v>
      </c>
      <c r="D1" s="199"/>
      <c r="E1" s="199"/>
      <c r="F1" s="199"/>
      <c r="G1" s="199"/>
      <c r="H1" s="199"/>
      <c r="I1" s="199"/>
    </row>
    <row r="2" spans="1:256" x14ac:dyDescent="0.2">
      <c r="F2" s="51"/>
      <c r="G2" s="51"/>
      <c r="H2" s="51"/>
      <c r="I2" s="51"/>
    </row>
    <row r="3" spans="1:256" x14ac:dyDescent="0.2">
      <c r="F3" s="51"/>
      <c r="G3" s="51"/>
      <c r="H3" s="51"/>
      <c r="I3" s="51"/>
    </row>
    <row r="4" spans="1:256" s="52" customFormat="1" ht="15.75" x14ac:dyDescent="0.25">
      <c r="A4" s="92" t="s">
        <v>230</v>
      </c>
      <c r="B4" s="93"/>
      <c r="C4" s="94"/>
      <c r="G4" s="92" t="s">
        <v>231</v>
      </c>
      <c r="H4"/>
    </row>
    <row r="5" spans="1:256" s="52" customFormat="1" ht="15.75" x14ac:dyDescent="0.25">
      <c r="A5" s="95" t="s">
        <v>232</v>
      </c>
      <c r="B5" s="96"/>
      <c r="C5" s="94"/>
      <c r="G5" s="95" t="s">
        <v>233</v>
      </c>
      <c r="H5"/>
    </row>
    <row r="6" spans="1:256" s="52" customFormat="1" ht="15.75" x14ac:dyDescent="0.25">
      <c r="A6" s="97" t="s">
        <v>4</v>
      </c>
      <c r="B6" s="98"/>
      <c r="C6" s="20"/>
      <c r="G6" s="97" t="s">
        <v>183</v>
      </c>
      <c r="H6" s="99"/>
    </row>
    <row r="7" spans="1:256" s="52" customFormat="1" ht="15.75" x14ac:dyDescent="0.25">
      <c r="A7" s="97" t="s">
        <v>235</v>
      </c>
      <c r="B7" s="98"/>
      <c r="C7" s="100"/>
      <c r="G7" s="97" t="s">
        <v>5</v>
      </c>
      <c r="H7" s="101"/>
    </row>
    <row r="8" spans="1:256" s="52" customFormat="1" ht="15.75" x14ac:dyDescent="0.25">
      <c r="A8"/>
      <c r="B8" s="102"/>
      <c r="C8"/>
      <c r="G8" s="97"/>
      <c r="H8" s="99"/>
    </row>
    <row r="9" spans="1:256" s="52" customFormat="1" ht="15.75" x14ac:dyDescent="0.25">
      <c r="A9" s="97" t="s">
        <v>236</v>
      </c>
      <c r="B9" s="98"/>
      <c r="C9" s="1"/>
      <c r="G9" s="97" t="s">
        <v>237</v>
      </c>
      <c r="H9" s="99"/>
    </row>
    <row r="10" spans="1:256" s="52" customFormat="1" ht="15.75" x14ac:dyDescent="0.25">
      <c r="A10" s="97" t="s">
        <v>456</v>
      </c>
      <c r="B10" s="98"/>
      <c r="C10" s="1"/>
      <c r="G10" s="97" t="s">
        <v>456</v>
      </c>
      <c r="H10" s="98"/>
      <c r="I10" s="54"/>
    </row>
    <row r="11" spans="1:256" s="52" customFormat="1" ht="11.25" customHeight="1" x14ac:dyDescent="0.25">
      <c r="A11" s="2"/>
      <c r="D11" s="53"/>
      <c r="E11" s="54"/>
    </row>
    <row r="12" spans="1:256" ht="15.75" x14ac:dyDescent="0.2">
      <c r="A12" s="200" t="s">
        <v>187</v>
      </c>
      <c r="B12" s="200"/>
      <c r="C12" s="200"/>
      <c r="D12" s="200"/>
      <c r="E12" s="200"/>
      <c r="F12" s="200"/>
      <c r="G12" s="200"/>
      <c r="H12" s="200"/>
      <c r="I12" s="200"/>
    </row>
    <row r="13" spans="1:256" ht="15.75" customHeight="1" x14ac:dyDescent="0.2">
      <c r="A13" s="201" t="s">
        <v>159</v>
      </c>
      <c r="B13" s="202"/>
      <c r="C13" s="202"/>
      <c r="D13" s="202"/>
      <c r="E13" s="202"/>
      <c r="F13" s="202"/>
      <c r="G13" s="202"/>
      <c r="H13" s="202"/>
      <c r="I13" s="202"/>
    </row>
    <row r="14" spans="1:256" x14ac:dyDescent="0.2">
      <c r="A14" s="55"/>
      <c r="B14" s="56"/>
      <c r="C14" s="57"/>
      <c r="D14" s="57"/>
      <c r="E14" s="57"/>
      <c r="F14" s="56"/>
      <c r="G14" s="56"/>
      <c r="H14" s="56"/>
      <c r="I14" s="56"/>
      <c r="J14" s="56"/>
      <c r="K14" s="56"/>
      <c r="L14" s="56"/>
      <c r="M14" s="56"/>
      <c r="N14" s="56"/>
      <c r="O14" s="56"/>
      <c r="P14" s="56"/>
      <c r="Q14" s="56"/>
      <c r="R14" s="56"/>
      <c r="S14" s="56"/>
      <c r="T14" s="56"/>
      <c r="U14" s="56"/>
      <c r="V14" s="56"/>
      <c r="W14" s="56"/>
      <c r="X14" s="56"/>
      <c r="Y14" s="56"/>
      <c r="Z14" s="56"/>
      <c r="AA14" s="56"/>
      <c r="AB14" s="56"/>
      <c r="AC14" s="56"/>
      <c r="AD14" s="56"/>
      <c r="AE14" s="56"/>
      <c r="AF14" s="56"/>
      <c r="AG14" s="56"/>
      <c r="AH14" s="56"/>
      <c r="AI14" s="56"/>
      <c r="AJ14" s="56"/>
      <c r="AK14" s="56"/>
      <c r="AL14" s="56"/>
      <c r="AM14" s="56"/>
      <c r="AN14" s="56"/>
      <c r="AO14" s="56"/>
      <c r="AP14" s="56"/>
      <c r="AQ14" s="56"/>
      <c r="AR14" s="56"/>
      <c r="AS14" s="56"/>
      <c r="AT14" s="56"/>
      <c r="AU14" s="56"/>
      <c r="AV14" s="56"/>
      <c r="AW14" s="56"/>
      <c r="AX14" s="56"/>
      <c r="AY14" s="56"/>
      <c r="AZ14" s="56"/>
      <c r="BA14" s="56"/>
      <c r="BB14" s="56"/>
      <c r="BC14" s="56"/>
      <c r="BD14" s="56"/>
      <c r="BE14" s="56"/>
      <c r="BF14" s="56"/>
      <c r="BG14" s="56"/>
      <c r="BH14" s="56"/>
      <c r="BI14" s="56"/>
      <c r="BJ14" s="56"/>
      <c r="BK14" s="56"/>
      <c r="BL14" s="56"/>
      <c r="BM14" s="56"/>
      <c r="BN14" s="56"/>
      <c r="BO14" s="56"/>
      <c r="BP14" s="56"/>
      <c r="BQ14" s="56"/>
      <c r="BR14" s="56"/>
      <c r="BS14" s="56"/>
      <c r="BT14" s="56"/>
      <c r="BU14" s="56"/>
      <c r="BV14" s="56"/>
      <c r="BW14" s="56"/>
      <c r="BX14" s="56"/>
      <c r="BY14" s="56"/>
      <c r="BZ14" s="56"/>
      <c r="CA14" s="56"/>
      <c r="CB14" s="56"/>
      <c r="CC14" s="56"/>
      <c r="CD14" s="56"/>
      <c r="CE14" s="56"/>
      <c r="CF14" s="56"/>
      <c r="CG14" s="56"/>
      <c r="CH14" s="56"/>
      <c r="CI14" s="56"/>
      <c r="CJ14" s="56"/>
      <c r="CK14" s="56"/>
      <c r="CL14" s="56"/>
      <c r="CM14" s="56"/>
      <c r="CN14" s="56"/>
      <c r="CO14" s="56"/>
      <c r="CP14" s="56"/>
      <c r="CQ14" s="56"/>
      <c r="CR14" s="56"/>
      <c r="CS14" s="56"/>
      <c r="CT14" s="56"/>
      <c r="CU14" s="56"/>
      <c r="CV14" s="56"/>
      <c r="CW14" s="56"/>
      <c r="CX14" s="56"/>
      <c r="CY14" s="56"/>
      <c r="CZ14" s="56"/>
      <c r="DA14" s="56"/>
      <c r="DB14" s="56"/>
      <c r="DC14" s="56"/>
      <c r="DD14" s="56"/>
      <c r="DE14" s="56"/>
      <c r="DF14" s="56"/>
      <c r="DG14" s="56"/>
      <c r="DH14" s="56"/>
      <c r="DI14" s="56"/>
      <c r="DJ14" s="56"/>
      <c r="DK14" s="56"/>
      <c r="DL14" s="56"/>
      <c r="DM14" s="56"/>
      <c r="DN14" s="56"/>
      <c r="DO14" s="56"/>
      <c r="DP14" s="56"/>
      <c r="DQ14" s="56"/>
      <c r="DR14" s="56"/>
      <c r="DS14" s="56"/>
      <c r="DT14" s="56"/>
      <c r="DU14" s="56"/>
      <c r="DV14" s="56"/>
      <c r="DW14" s="56"/>
      <c r="DX14" s="56"/>
      <c r="DY14" s="56"/>
      <c r="DZ14" s="56"/>
      <c r="EA14" s="56"/>
      <c r="EB14" s="56"/>
      <c r="EC14" s="56"/>
      <c r="ED14" s="56"/>
      <c r="EE14" s="56"/>
      <c r="EF14" s="56"/>
      <c r="EG14" s="56"/>
      <c r="EH14" s="56"/>
      <c r="EI14" s="56"/>
      <c r="EJ14" s="56"/>
      <c r="EK14" s="56"/>
      <c r="EL14" s="56"/>
      <c r="EM14" s="56"/>
      <c r="EN14" s="56"/>
      <c r="EO14" s="56"/>
      <c r="EP14" s="56"/>
      <c r="EQ14" s="56"/>
      <c r="ER14" s="56"/>
      <c r="ES14" s="56"/>
      <c r="ET14" s="56"/>
      <c r="EU14" s="56"/>
      <c r="EV14" s="56"/>
      <c r="EW14" s="56"/>
      <c r="EX14" s="56"/>
      <c r="EY14" s="56"/>
      <c r="EZ14" s="56"/>
      <c r="FA14" s="56"/>
      <c r="FB14" s="56"/>
      <c r="FC14" s="56"/>
      <c r="FD14" s="56"/>
      <c r="FE14" s="56"/>
      <c r="FF14" s="56"/>
      <c r="FG14" s="56"/>
      <c r="FH14" s="56"/>
      <c r="FI14" s="56"/>
      <c r="FJ14" s="56"/>
      <c r="FK14" s="56"/>
      <c r="FL14" s="56"/>
      <c r="FM14" s="56"/>
      <c r="FN14" s="56"/>
      <c r="FO14" s="56"/>
      <c r="FP14" s="56"/>
      <c r="FQ14" s="56"/>
      <c r="FR14" s="56"/>
      <c r="FS14" s="56"/>
      <c r="FT14" s="56"/>
      <c r="FU14" s="56"/>
      <c r="FV14" s="56"/>
      <c r="FW14" s="56"/>
      <c r="FX14" s="56"/>
      <c r="FY14" s="56"/>
      <c r="FZ14" s="56"/>
      <c r="GA14" s="56"/>
      <c r="GB14" s="56"/>
      <c r="GC14" s="56"/>
      <c r="GD14" s="56"/>
      <c r="GE14" s="56"/>
      <c r="GF14" s="56"/>
      <c r="GG14" s="56"/>
      <c r="GH14" s="56"/>
      <c r="GI14" s="56"/>
      <c r="GJ14" s="56"/>
      <c r="GK14" s="56"/>
      <c r="GL14" s="56"/>
      <c r="GM14" s="56"/>
      <c r="GN14" s="56"/>
      <c r="GO14" s="56"/>
      <c r="GP14" s="56"/>
      <c r="GQ14" s="56"/>
      <c r="GR14" s="56"/>
      <c r="GS14" s="56"/>
      <c r="GT14" s="56"/>
      <c r="GU14" s="56"/>
      <c r="GV14" s="56"/>
      <c r="GW14" s="56"/>
      <c r="GX14" s="56"/>
      <c r="GY14" s="56"/>
      <c r="GZ14" s="56"/>
      <c r="HA14" s="56"/>
      <c r="HB14" s="56"/>
      <c r="HC14" s="56"/>
      <c r="HD14" s="56"/>
      <c r="HE14" s="56"/>
      <c r="HF14" s="56"/>
      <c r="HG14" s="56"/>
      <c r="HH14" s="56"/>
      <c r="HI14" s="56"/>
      <c r="HJ14" s="56"/>
      <c r="HK14" s="56"/>
      <c r="HL14" s="56"/>
      <c r="HM14" s="56"/>
      <c r="HN14" s="56"/>
      <c r="HO14" s="56"/>
      <c r="HP14" s="56"/>
      <c r="HQ14" s="56"/>
      <c r="HR14" s="56"/>
      <c r="HS14" s="56"/>
      <c r="HT14" s="56"/>
      <c r="HU14" s="56"/>
      <c r="HV14" s="56"/>
      <c r="HW14" s="56"/>
      <c r="HX14" s="56"/>
      <c r="HY14" s="56"/>
      <c r="HZ14" s="56"/>
      <c r="IA14" s="56"/>
      <c r="IB14" s="56"/>
      <c r="IC14" s="56"/>
      <c r="ID14" s="56"/>
      <c r="IE14" s="56"/>
      <c r="IF14" s="56"/>
      <c r="IG14" s="56"/>
      <c r="IH14" s="56"/>
      <c r="II14" s="56"/>
      <c r="IJ14" s="56"/>
      <c r="IK14" s="56"/>
      <c r="IL14" s="56"/>
      <c r="IM14" s="56"/>
      <c r="IN14" s="56"/>
      <c r="IO14" s="56"/>
      <c r="IP14" s="56"/>
      <c r="IQ14" s="56"/>
      <c r="IR14" s="56"/>
      <c r="IS14" s="56"/>
      <c r="IT14" s="56"/>
      <c r="IU14" s="56"/>
      <c r="IV14" s="56"/>
    </row>
    <row r="15" spans="1:256" ht="56.25" customHeight="1" x14ac:dyDescent="0.25">
      <c r="A15" s="203" t="s">
        <v>460</v>
      </c>
      <c r="B15" s="203"/>
      <c r="C15" s="203"/>
      <c r="D15" s="203"/>
      <c r="E15" s="203"/>
      <c r="F15" s="203"/>
      <c r="G15" s="203"/>
      <c r="H15" s="203"/>
      <c r="I15" s="203"/>
      <c r="J15" s="58"/>
      <c r="K15" s="56"/>
      <c r="L15" s="56"/>
      <c r="M15" s="56"/>
      <c r="N15" s="56"/>
      <c r="O15" s="56"/>
      <c r="P15" s="56"/>
      <c r="Q15" s="56"/>
      <c r="R15" s="56"/>
      <c r="S15" s="56"/>
      <c r="T15" s="56"/>
      <c r="U15" s="56"/>
      <c r="V15" s="56"/>
      <c r="W15" s="56"/>
      <c r="X15" s="56"/>
      <c r="Y15" s="56"/>
      <c r="Z15" s="56"/>
      <c r="AA15" s="56"/>
      <c r="AB15" s="56"/>
      <c r="AC15" s="56"/>
      <c r="AD15" s="56"/>
      <c r="AE15" s="56"/>
      <c r="AF15" s="56"/>
      <c r="AG15" s="56"/>
      <c r="AH15" s="56"/>
      <c r="AI15" s="56"/>
      <c r="AJ15" s="56"/>
      <c r="AK15" s="56"/>
      <c r="AL15" s="56"/>
      <c r="AM15" s="56"/>
      <c r="AN15" s="56"/>
      <c r="AO15" s="56"/>
      <c r="AP15" s="56"/>
      <c r="AQ15" s="56"/>
      <c r="AR15" s="56"/>
      <c r="AS15" s="56"/>
      <c r="AT15" s="56"/>
      <c r="AU15" s="56"/>
      <c r="AV15" s="56"/>
      <c r="AW15" s="56"/>
      <c r="AX15" s="56"/>
      <c r="AY15" s="56"/>
      <c r="AZ15" s="56"/>
      <c r="BA15" s="56"/>
      <c r="BB15" s="56"/>
      <c r="BC15" s="56"/>
      <c r="BD15" s="56"/>
      <c r="BE15" s="56"/>
      <c r="BF15" s="56"/>
      <c r="BG15" s="56"/>
      <c r="BH15" s="56"/>
      <c r="BI15" s="56"/>
      <c r="BJ15" s="56"/>
      <c r="BK15" s="56"/>
      <c r="BL15" s="56"/>
      <c r="BM15" s="56"/>
      <c r="BN15" s="56"/>
      <c r="BO15" s="56"/>
      <c r="BP15" s="56"/>
      <c r="BQ15" s="56"/>
      <c r="BR15" s="56"/>
      <c r="BS15" s="56"/>
      <c r="BT15" s="56"/>
      <c r="BU15" s="56"/>
      <c r="BV15" s="56"/>
      <c r="BW15" s="56"/>
      <c r="BX15" s="56"/>
      <c r="BY15" s="56"/>
      <c r="BZ15" s="56"/>
      <c r="CA15" s="56"/>
      <c r="CB15" s="56"/>
      <c r="CC15" s="56"/>
      <c r="CD15" s="56"/>
      <c r="CE15" s="56"/>
      <c r="CF15" s="56"/>
      <c r="CG15" s="56"/>
      <c r="CH15" s="56"/>
      <c r="CI15" s="56"/>
      <c r="CJ15" s="56"/>
      <c r="CK15" s="56"/>
      <c r="CL15" s="56"/>
      <c r="CM15" s="56"/>
      <c r="CN15" s="56"/>
      <c r="CO15" s="56"/>
      <c r="CP15" s="56"/>
      <c r="CQ15" s="56"/>
      <c r="CR15" s="56"/>
      <c r="CS15" s="56"/>
      <c r="CT15" s="56"/>
      <c r="CU15" s="56"/>
      <c r="CV15" s="56"/>
      <c r="CW15" s="56"/>
      <c r="CX15" s="56"/>
      <c r="CY15" s="56"/>
      <c r="CZ15" s="56"/>
      <c r="DA15" s="56"/>
      <c r="DB15" s="56"/>
      <c r="DC15" s="56"/>
      <c r="DD15" s="56"/>
      <c r="DE15" s="56"/>
      <c r="DF15" s="56"/>
      <c r="DG15" s="56"/>
      <c r="DH15" s="56"/>
      <c r="DI15" s="56"/>
      <c r="DJ15" s="56"/>
      <c r="DK15" s="56"/>
      <c r="DL15" s="56"/>
      <c r="DM15" s="56"/>
      <c r="DN15" s="56"/>
      <c r="DO15" s="56"/>
      <c r="DP15" s="56"/>
      <c r="DQ15" s="56"/>
      <c r="DR15" s="56"/>
      <c r="DS15" s="56"/>
      <c r="DT15" s="56"/>
      <c r="DU15" s="56"/>
      <c r="DV15" s="56"/>
      <c r="DW15" s="56"/>
      <c r="DX15" s="56"/>
      <c r="DY15" s="56"/>
      <c r="DZ15" s="56"/>
      <c r="EA15" s="56"/>
      <c r="EB15" s="56"/>
      <c r="EC15" s="56"/>
      <c r="ED15" s="56"/>
      <c r="EE15" s="56"/>
      <c r="EF15" s="56"/>
      <c r="EG15" s="56"/>
      <c r="EH15" s="56"/>
      <c r="EI15" s="56"/>
      <c r="EJ15" s="56"/>
      <c r="EK15" s="56"/>
      <c r="EL15" s="56"/>
      <c r="EM15" s="56"/>
      <c r="EN15" s="56"/>
      <c r="EO15" s="56"/>
      <c r="EP15" s="56"/>
      <c r="EQ15" s="56"/>
      <c r="ER15" s="56"/>
      <c r="ES15" s="56"/>
      <c r="ET15" s="56"/>
      <c r="EU15" s="56"/>
      <c r="EV15" s="56"/>
      <c r="EW15" s="56"/>
      <c r="EX15" s="56"/>
      <c r="EY15" s="56"/>
      <c r="EZ15" s="56"/>
      <c r="FA15" s="56"/>
      <c r="FB15" s="56"/>
      <c r="FC15" s="56"/>
      <c r="FD15" s="56"/>
      <c r="FE15" s="56"/>
      <c r="FF15" s="56"/>
      <c r="FG15" s="56"/>
      <c r="FH15" s="56"/>
      <c r="FI15" s="56"/>
      <c r="FJ15" s="56"/>
      <c r="FK15" s="56"/>
      <c r="FL15" s="56"/>
      <c r="FM15" s="56"/>
      <c r="FN15" s="56"/>
      <c r="FO15" s="56"/>
      <c r="FP15" s="56"/>
      <c r="FQ15" s="56"/>
      <c r="FR15" s="56"/>
      <c r="FS15" s="56"/>
      <c r="FT15" s="56"/>
      <c r="FU15" s="56"/>
      <c r="FV15" s="56"/>
      <c r="FW15" s="56"/>
      <c r="FX15" s="56"/>
      <c r="FY15" s="56"/>
      <c r="FZ15" s="56"/>
      <c r="GA15" s="56"/>
      <c r="GB15" s="56"/>
      <c r="GC15" s="56"/>
      <c r="GD15" s="56"/>
      <c r="GE15" s="56"/>
      <c r="GF15" s="56"/>
      <c r="GG15" s="56"/>
      <c r="GH15" s="56"/>
      <c r="GI15" s="56"/>
      <c r="GJ15" s="56"/>
      <c r="GK15" s="56"/>
      <c r="GL15" s="56"/>
      <c r="GM15" s="56"/>
      <c r="GN15" s="56"/>
      <c r="GO15" s="56"/>
      <c r="GP15" s="56"/>
      <c r="GQ15" s="56"/>
      <c r="GR15" s="56"/>
      <c r="GS15" s="56"/>
      <c r="GT15" s="56"/>
      <c r="GU15" s="56"/>
      <c r="GV15" s="56"/>
      <c r="GW15" s="56"/>
      <c r="GX15" s="56"/>
      <c r="GY15" s="56"/>
      <c r="GZ15" s="56"/>
      <c r="HA15" s="56"/>
      <c r="HB15" s="56"/>
      <c r="HC15" s="56"/>
      <c r="HD15" s="56"/>
      <c r="HE15" s="56"/>
      <c r="HF15" s="56"/>
      <c r="HG15" s="56"/>
      <c r="HH15" s="56"/>
      <c r="HI15" s="56"/>
      <c r="HJ15" s="56"/>
      <c r="HK15" s="56"/>
      <c r="HL15" s="56"/>
      <c r="HM15" s="56"/>
      <c r="HN15" s="56"/>
      <c r="HO15" s="56"/>
      <c r="HP15" s="56"/>
      <c r="HQ15" s="56"/>
      <c r="HR15" s="56"/>
      <c r="HS15" s="56"/>
      <c r="HT15" s="56"/>
      <c r="HU15" s="56"/>
      <c r="HV15" s="56"/>
      <c r="HW15" s="56"/>
      <c r="HX15" s="56"/>
      <c r="HY15" s="56"/>
      <c r="HZ15" s="56"/>
      <c r="IA15" s="56"/>
      <c r="IB15" s="56"/>
      <c r="IC15" s="56"/>
      <c r="ID15" s="56"/>
      <c r="IE15" s="56"/>
      <c r="IF15" s="56"/>
      <c r="IG15" s="56"/>
      <c r="IH15" s="56"/>
      <c r="II15" s="56"/>
      <c r="IJ15" s="56"/>
      <c r="IK15" s="56"/>
      <c r="IL15" s="56"/>
      <c r="IM15" s="56"/>
      <c r="IN15" s="56"/>
      <c r="IO15" s="56"/>
      <c r="IP15" s="56"/>
      <c r="IQ15" s="56"/>
      <c r="IR15" s="56"/>
      <c r="IS15" s="56"/>
      <c r="IT15" s="56"/>
      <c r="IU15" s="56"/>
      <c r="IV15" s="56"/>
    </row>
    <row r="16" spans="1:256" ht="9.75" customHeight="1" x14ac:dyDescent="0.25">
      <c r="A16" s="59"/>
      <c r="B16" s="59"/>
      <c r="C16" s="59"/>
      <c r="D16" s="59"/>
      <c r="E16" s="59"/>
      <c r="F16" s="59"/>
      <c r="G16" s="59"/>
      <c r="H16" s="59"/>
      <c r="I16" s="59"/>
      <c r="J16" s="58"/>
      <c r="K16" s="56"/>
      <c r="L16" s="56"/>
      <c r="M16" s="56"/>
      <c r="N16" s="56"/>
      <c r="O16" s="56"/>
      <c r="P16" s="56"/>
      <c r="Q16" s="56"/>
      <c r="R16" s="56"/>
      <c r="S16" s="56"/>
      <c r="T16" s="56"/>
      <c r="U16" s="56"/>
      <c r="V16" s="56"/>
      <c r="W16" s="56"/>
      <c r="X16" s="56"/>
      <c r="Y16" s="56"/>
      <c r="Z16" s="56"/>
      <c r="AA16" s="56"/>
      <c r="AB16" s="56"/>
      <c r="AC16" s="56"/>
      <c r="AD16" s="56"/>
      <c r="AE16" s="56"/>
      <c r="AF16" s="56"/>
      <c r="AG16" s="56"/>
      <c r="AH16" s="56"/>
      <c r="AI16" s="56"/>
      <c r="AJ16" s="56"/>
      <c r="AK16" s="56"/>
      <c r="AL16" s="56"/>
      <c r="AM16" s="56"/>
      <c r="AN16" s="56"/>
      <c r="AO16" s="56"/>
      <c r="AP16" s="56"/>
      <c r="AQ16" s="56"/>
      <c r="AR16" s="56"/>
      <c r="AS16" s="56"/>
      <c r="AT16" s="56"/>
      <c r="AU16" s="56"/>
      <c r="AV16" s="56"/>
      <c r="AW16" s="56"/>
      <c r="AX16" s="56"/>
      <c r="AY16" s="56"/>
      <c r="AZ16" s="56"/>
      <c r="BA16" s="56"/>
      <c r="BB16" s="56"/>
      <c r="BC16" s="56"/>
      <c r="BD16" s="56"/>
      <c r="BE16" s="56"/>
      <c r="BF16" s="56"/>
      <c r="BG16" s="56"/>
      <c r="BH16" s="56"/>
      <c r="BI16" s="56"/>
      <c r="BJ16" s="56"/>
      <c r="BK16" s="56"/>
      <c r="BL16" s="56"/>
      <c r="BM16" s="56"/>
      <c r="BN16" s="56"/>
      <c r="BO16" s="56"/>
      <c r="BP16" s="56"/>
      <c r="BQ16" s="56"/>
      <c r="BR16" s="56"/>
      <c r="BS16" s="56"/>
      <c r="BT16" s="56"/>
      <c r="BU16" s="56"/>
      <c r="BV16" s="56"/>
      <c r="BW16" s="56"/>
      <c r="BX16" s="56"/>
      <c r="BY16" s="56"/>
      <c r="BZ16" s="56"/>
      <c r="CA16" s="56"/>
      <c r="CB16" s="56"/>
      <c r="CC16" s="56"/>
      <c r="CD16" s="56"/>
      <c r="CE16" s="56"/>
      <c r="CF16" s="56"/>
      <c r="CG16" s="56"/>
      <c r="CH16" s="56"/>
      <c r="CI16" s="56"/>
      <c r="CJ16" s="56"/>
      <c r="CK16" s="56"/>
      <c r="CL16" s="56"/>
      <c r="CM16" s="56"/>
      <c r="CN16" s="56"/>
      <c r="CO16" s="56"/>
      <c r="CP16" s="56"/>
      <c r="CQ16" s="56"/>
      <c r="CR16" s="56"/>
      <c r="CS16" s="56"/>
      <c r="CT16" s="56"/>
      <c r="CU16" s="56"/>
      <c r="CV16" s="56"/>
      <c r="CW16" s="56"/>
      <c r="CX16" s="56"/>
      <c r="CY16" s="56"/>
      <c r="CZ16" s="56"/>
      <c r="DA16" s="56"/>
      <c r="DB16" s="56"/>
      <c r="DC16" s="56"/>
      <c r="DD16" s="56"/>
      <c r="DE16" s="56"/>
      <c r="DF16" s="56"/>
      <c r="DG16" s="56"/>
      <c r="DH16" s="56"/>
      <c r="DI16" s="56"/>
      <c r="DJ16" s="56"/>
      <c r="DK16" s="56"/>
      <c r="DL16" s="56"/>
      <c r="DM16" s="56"/>
      <c r="DN16" s="56"/>
      <c r="DO16" s="56"/>
      <c r="DP16" s="56"/>
      <c r="DQ16" s="56"/>
      <c r="DR16" s="56"/>
      <c r="DS16" s="56"/>
      <c r="DT16" s="56"/>
      <c r="DU16" s="56"/>
      <c r="DV16" s="56"/>
      <c r="DW16" s="56"/>
      <c r="DX16" s="56"/>
      <c r="DY16" s="56"/>
      <c r="DZ16" s="56"/>
      <c r="EA16" s="56"/>
      <c r="EB16" s="56"/>
      <c r="EC16" s="56"/>
      <c r="ED16" s="56"/>
      <c r="EE16" s="56"/>
      <c r="EF16" s="56"/>
      <c r="EG16" s="56"/>
      <c r="EH16" s="56"/>
      <c r="EI16" s="56"/>
      <c r="EJ16" s="56"/>
      <c r="EK16" s="56"/>
      <c r="EL16" s="56"/>
      <c r="EM16" s="56"/>
      <c r="EN16" s="56"/>
      <c r="EO16" s="56"/>
      <c r="EP16" s="56"/>
      <c r="EQ16" s="56"/>
      <c r="ER16" s="56"/>
      <c r="ES16" s="56"/>
      <c r="ET16" s="56"/>
      <c r="EU16" s="56"/>
      <c r="EV16" s="56"/>
      <c r="EW16" s="56"/>
      <c r="EX16" s="56"/>
      <c r="EY16" s="56"/>
      <c r="EZ16" s="56"/>
      <c r="FA16" s="56"/>
      <c r="FB16" s="56"/>
      <c r="FC16" s="56"/>
      <c r="FD16" s="56"/>
      <c r="FE16" s="56"/>
      <c r="FF16" s="56"/>
      <c r="FG16" s="56"/>
      <c r="FH16" s="56"/>
      <c r="FI16" s="56"/>
      <c r="FJ16" s="56"/>
      <c r="FK16" s="56"/>
      <c r="FL16" s="56"/>
      <c r="FM16" s="56"/>
      <c r="FN16" s="56"/>
      <c r="FO16" s="56"/>
      <c r="FP16" s="56"/>
      <c r="FQ16" s="56"/>
      <c r="FR16" s="56"/>
      <c r="FS16" s="56"/>
      <c r="FT16" s="56"/>
      <c r="FU16" s="56"/>
      <c r="FV16" s="56"/>
      <c r="FW16" s="56"/>
      <c r="FX16" s="56"/>
      <c r="FY16" s="56"/>
      <c r="FZ16" s="56"/>
      <c r="GA16" s="56"/>
      <c r="GB16" s="56"/>
      <c r="GC16" s="56"/>
      <c r="GD16" s="56"/>
      <c r="GE16" s="56"/>
      <c r="GF16" s="56"/>
      <c r="GG16" s="56"/>
      <c r="GH16" s="56"/>
      <c r="GI16" s="56"/>
      <c r="GJ16" s="56"/>
      <c r="GK16" s="56"/>
      <c r="GL16" s="56"/>
      <c r="GM16" s="56"/>
      <c r="GN16" s="56"/>
      <c r="GO16" s="56"/>
      <c r="GP16" s="56"/>
      <c r="GQ16" s="56"/>
      <c r="GR16" s="56"/>
      <c r="GS16" s="56"/>
      <c r="GT16" s="56"/>
      <c r="GU16" s="56"/>
      <c r="GV16" s="56"/>
      <c r="GW16" s="56"/>
      <c r="GX16" s="56"/>
      <c r="GY16" s="56"/>
      <c r="GZ16" s="56"/>
      <c r="HA16" s="56"/>
      <c r="HB16" s="56"/>
      <c r="HC16" s="56"/>
      <c r="HD16" s="56"/>
      <c r="HE16" s="56"/>
      <c r="HF16" s="56"/>
      <c r="HG16" s="56"/>
      <c r="HH16" s="56"/>
      <c r="HI16" s="56"/>
      <c r="HJ16" s="56"/>
      <c r="HK16" s="56"/>
      <c r="HL16" s="56"/>
      <c r="HM16" s="56"/>
      <c r="HN16" s="56"/>
      <c r="HO16" s="56"/>
      <c r="HP16" s="56"/>
      <c r="HQ16" s="56"/>
      <c r="HR16" s="56"/>
      <c r="HS16" s="56"/>
      <c r="HT16" s="56"/>
      <c r="HU16" s="56"/>
      <c r="HV16" s="56"/>
      <c r="HW16" s="56"/>
      <c r="HX16" s="56"/>
      <c r="HY16" s="56"/>
      <c r="HZ16" s="56"/>
      <c r="IA16" s="56"/>
      <c r="IB16" s="56"/>
      <c r="IC16" s="56"/>
      <c r="ID16" s="56"/>
      <c r="IE16" s="56"/>
      <c r="IF16" s="56"/>
      <c r="IG16" s="56"/>
      <c r="IH16" s="56"/>
      <c r="II16" s="56"/>
      <c r="IJ16" s="56"/>
      <c r="IK16" s="56"/>
      <c r="IL16" s="56"/>
      <c r="IM16" s="56"/>
      <c r="IN16" s="56"/>
      <c r="IO16" s="56"/>
      <c r="IP16" s="56"/>
      <c r="IQ16" s="56"/>
      <c r="IR16" s="56"/>
      <c r="IS16" s="56"/>
      <c r="IT16" s="56"/>
      <c r="IU16" s="56"/>
      <c r="IV16" s="56"/>
    </row>
    <row r="17" spans="1:9" ht="97.5" customHeight="1" x14ac:dyDescent="0.2">
      <c r="A17" s="60" t="s">
        <v>188</v>
      </c>
      <c r="B17" s="204" t="s">
        <v>189</v>
      </c>
      <c r="C17" s="205"/>
      <c r="D17" s="204" t="s">
        <v>88</v>
      </c>
      <c r="E17" s="206"/>
      <c r="F17" s="206"/>
      <c r="G17" s="205"/>
      <c r="H17" s="61" t="s">
        <v>87</v>
      </c>
      <c r="I17" s="114" t="s">
        <v>190</v>
      </c>
    </row>
    <row r="18" spans="1:9" ht="12.75" customHeight="1" x14ac:dyDescent="0.2">
      <c r="A18" s="88" t="s">
        <v>191</v>
      </c>
      <c r="B18" s="207">
        <v>2</v>
      </c>
      <c r="C18" s="208"/>
      <c r="D18" s="207">
        <v>3</v>
      </c>
      <c r="E18" s="209"/>
      <c r="F18" s="209"/>
      <c r="G18" s="208"/>
      <c r="H18" s="113">
        <v>4</v>
      </c>
      <c r="I18" s="115">
        <v>5</v>
      </c>
    </row>
    <row r="19" spans="1:9" ht="94.5" customHeight="1" x14ac:dyDescent="0.2">
      <c r="A19" s="89" t="s">
        <v>191</v>
      </c>
      <c r="B19" s="233" t="s">
        <v>462</v>
      </c>
      <c r="C19" s="233"/>
      <c r="D19" s="234" t="s">
        <v>467</v>
      </c>
      <c r="E19" s="234"/>
      <c r="F19" s="234"/>
      <c r="G19" s="234"/>
      <c r="H19" s="111" t="s">
        <v>468</v>
      </c>
      <c r="I19" s="112">
        <f>5567.84*2.4*1.2*0.805*4.27</f>
        <v>55119.210693119996</v>
      </c>
    </row>
    <row r="20" spans="1:9" ht="115.5" customHeight="1" x14ac:dyDescent="0.2">
      <c r="A20" s="75" t="s">
        <v>200</v>
      </c>
      <c r="B20" s="235" t="s">
        <v>192</v>
      </c>
      <c r="C20" s="236"/>
      <c r="D20" s="245" t="s">
        <v>459</v>
      </c>
      <c r="E20" s="246"/>
      <c r="F20" s="246"/>
      <c r="G20" s="247"/>
      <c r="H20" s="76" t="s">
        <v>472</v>
      </c>
      <c r="I20" s="77">
        <f>(7763+42*120) * 1 * 0.6 * 4.27 * 1.4 * (1 + 0.1) * 0.775</f>
        <v>39148.334840999989</v>
      </c>
    </row>
    <row r="21" spans="1:9" ht="14.25" customHeight="1" x14ac:dyDescent="0.2">
      <c r="A21" s="75"/>
      <c r="B21" s="215" t="s">
        <v>63</v>
      </c>
      <c r="C21" s="216"/>
      <c r="D21" s="248"/>
      <c r="E21" s="249"/>
      <c r="F21" s="249"/>
      <c r="G21" s="250"/>
      <c r="H21" s="76"/>
      <c r="I21" s="87"/>
    </row>
    <row r="22" spans="1:9" ht="26.25" customHeight="1" x14ac:dyDescent="0.2">
      <c r="A22" s="75"/>
      <c r="B22" s="230" t="s">
        <v>194</v>
      </c>
      <c r="C22" s="231"/>
      <c r="D22" s="230" t="s">
        <v>195</v>
      </c>
      <c r="E22" s="232"/>
      <c r="F22" s="232"/>
      <c r="G22" s="231"/>
      <c r="H22" s="76"/>
      <c r="I22" s="87"/>
    </row>
    <row r="23" spans="1:9" ht="38.25" customHeight="1" x14ac:dyDescent="0.2">
      <c r="A23" s="75"/>
      <c r="B23" s="240"/>
      <c r="C23" s="241"/>
      <c r="D23" s="230" t="s">
        <v>463</v>
      </c>
      <c r="E23" s="232"/>
      <c r="F23" s="232"/>
      <c r="G23" s="231"/>
      <c r="H23" s="76"/>
      <c r="I23" s="87"/>
    </row>
    <row r="24" spans="1:9" ht="27.75" customHeight="1" x14ac:dyDescent="0.2">
      <c r="A24" s="75"/>
      <c r="B24" s="240"/>
      <c r="C24" s="241"/>
      <c r="D24" s="230" t="s">
        <v>197</v>
      </c>
      <c r="E24" s="232"/>
      <c r="F24" s="232"/>
      <c r="G24" s="231"/>
      <c r="H24" s="76"/>
      <c r="I24" s="87"/>
    </row>
    <row r="25" spans="1:9" ht="25.5" customHeight="1" x14ac:dyDescent="0.2">
      <c r="A25" s="75"/>
      <c r="B25" s="240"/>
      <c r="C25" s="241"/>
      <c r="D25" s="218" t="s">
        <v>198</v>
      </c>
      <c r="E25" s="220"/>
      <c r="F25" s="220"/>
      <c r="G25" s="219"/>
      <c r="H25" s="76"/>
      <c r="I25" s="87"/>
    </row>
    <row r="26" spans="1:9" ht="54.75" customHeight="1" x14ac:dyDescent="0.2">
      <c r="A26" s="75"/>
      <c r="B26" s="221" t="s">
        <v>69</v>
      </c>
      <c r="C26" s="222"/>
      <c r="D26" s="221"/>
      <c r="E26" s="223"/>
      <c r="F26" s="223"/>
      <c r="G26" s="222"/>
      <c r="H26" s="73" t="s">
        <v>470</v>
      </c>
      <c r="I26" s="87"/>
    </row>
    <row r="27" spans="1:9" ht="106.5" customHeight="1" x14ac:dyDescent="0.2">
      <c r="A27" s="75" t="s">
        <v>201</v>
      </c>
      <c r="B27" s="235" t="s">
        <v>71</v>
      </c>
      <c r="C27" s="236"/>
      <c r="D27" s="237" t="s">
        <v>72</v>
      </c>
      <c r="E27" s="238"/>
      <c r="F27" s="238"/>
      <c r="G27" s="239"/>
      <c r="H27" s="76" t="s">
        <v>466</v>
      </c>
      <c r="I27" s="82">
        <f>(0+800*1)*1*0.5*4.27</f>
        <v>1707.9999999999998</v>
      </c>
    </row>
    <row r="28" spans="1:9" ht="15.75" customHeight="1" x14ac:dyDescent="0.2">
      <c r="A28" s="66" t="s">
        <v>193</v>
      </c>
      <c r="B28" s="215" t="s">
        <v>63</v>
      </c>
      <c r="C28" s="216"/>
      <c r="D28" s="215"/>
      <c r="E28" s="217"/>
      <c r="F28" s="217"/>
      <c r="G28" s="216"/>
      <c r="H28" s="67"/>
      <c r="I28" s="91"/>
    </row>
    <row r="29" spans="1:9" ht="12.75" customHeight="1" x14ac:dyDescent="0.2">
      <c r="A29" s="69" t="s">
        <v>193</v>
      </c>
      <c r="B29" s="230" t="s">
        <v>64</v>
      </c>
      <c r="C29" s="231"/>
      <c r="D29" s="230" t="s">
        <v>74</v>
      </c>
      <c r="E29" s="232"/>
      <c r="F29" s="232"/>
      <c r="G29" s="231"/>
      <c r="H29" s="70"/>
      <c r="I29" s="71"/>
    </row>
    <row r="30" spans="1:9" ht="38.25" customHeight="1" x14ac:dyDescent="0.2">
      <c r="A30" s="69" t="s">
        <v>193</v>
      </c>
      <c r="B30" s="230"/>
      <c r="C30" s="231"/>
      <c r="D30" s="230" t="s">
        <v>463</v>
      </c>
      <c r="E30" s="232"/>
      <c r="F30" s="232"/>
      <c r="G30" s="231"/>
      <c r="H30" s="70"/>
      <c r="I30" s="71"/>
    </row>
    <row r="31" spans="1:9" ht="22.5" customHeight="1" x14ac:dyDescent="0.2">
      <c r="A31" s="72" t="s">
        <v>193</v>
      </c>
      <c r="B31" s="242" t="s">
        <v>69</v>
      </c>
      <c r="C31" s="243"/>
      <c r="D31" s="242"/>
      <c r="E31" s="244"/>
      <c r="F31" s="244"/>
      <c r="G31" s="243"/>
      <c r="H31" s="73" t="s">
        <v>75</v>
      </c>
      <c r="I31" s="74"/>
    </row>
    <row r="32" spans="1:9" ht="12.75" customHeight="1" x14ac:dyDescent="0.2">
      <c r="A32" s="72" t="s">
        <v>202</v>
      </c>
      <c r="B32" s="224" t="s">
        <v>76</v>
      </c>
      <c r="C32" s="225"/>
      <c r="D32" s="224"/>
      <c r="E32" s="226"/>
      <c r="F32" s="226"/>
      <c r="G32" s="225"/>
      <c r="H32" s="78"/>
      <c r="I32" s="79">
        <f>I19+I27+I20</f>
        <v>95975.545534119985</v>
      </c>
    </row>
    <row r="33" spans="1:256" ht="12.75" customHeight="1" x14ac:dyDescent="0.2">
      <c r="A33" s="80" t="s">
        <v>203</v>
      </c>
      <c r="B33" s="227" t="s">
        <v>77</v>
      </c>
      <c r="C33" s="228"/>
      <c r="D33" s="227"/>
      <c r="E33" s="229"/>
      <c r="F33" s="229"/>
      <c r="G33" s="228"/>
      <c r="H33" s="81" t="s">
        <v>217</v>
      </c>
      <c r="I33" s="82">
        <f>I32*0.1</f>
        <v>9597.5545534119992</v>
      </c>
    </row>
    <row r="34" spans="1:256" ht="39.75" customHeight="1" x14ac:dyDescent="0.2">
      <c r="A34" s="80" t="s">
        <v>204</v>
      </c>
      <c r="B34" s="227" t="s">
        <v>23</v>
      </c>
      <c r="C34" s="228"/>
      <c r="D34" s="227"/>
      <c r="E34" s="229"/>
      <c r="F34" s="229"/>
      <c r="G34" s="228"/>
      <c r="H34" s="81" t="s">
        <v>79</v>
      </c>
      <c r="I34" s="82">
        <v>87008</v>
      </c>
    </row>
    <row r="35" spans="1:256" ht="25.5" customHeight="1" x14ac:dyDescent="0.2">
      <c r="A35" s="80" t="s">
        <v>205</v>
      </c>
      <c r="B35" s="227" t="s">
        <v>80</v>
      </c>
      <c r="C35" s="228"/>
      <c r="D35" s="227"/>
      <c r="E35" s="229"/>
      <c r="F35" s="229"/>
      <c r="G35" s="228"/>
      <c r="H35" s="81" t="s">
        <v>79</v>
      </c>
      <c r="I35" s="82">
        <v>8333.34</v>
      </c>
    </row>
    <row r="36" spans="1:256" ht="12.75" customHeight="1" x14ac:dyDescent="0.2">
      <c r="A36" s="80" t="s">
        <v>206</v>
      </c>
      <c r="B36" s="227" t="s">
        <v>81</v>
      </c>
      <c r="C36" s="228"/>
      <c r="D36" s="227"/>
      <c r="E36" s="229"/>
      <c r="F36" s="229"/>
      <c r="G36" s="228"/>
      <c r="H36" s="81" t="s">
        <v>227</v>
      </c>
      <c r="I36" s="82">
        <f>I32+I33+I34+I35</f>
        <v>200914.44008753198</v>
      </c>
    </row>
    <row r="37" spans="1:256" ht="12.75" customHeight="1" x14ac:dyDescent="0.2">
      <c r="A37" s="80" t="s">
        <v>208</v>
      </c>
      <c r="B37" s="227" t="s">
        <v>207</v>
      </c>
      <c r="C37" s="228"/>
      <c r="D37" s="227"/>
      <c r="E37" s="229"/>
      <c r="F37" s="229"/>
      <c r="G37" s="228"/>
      <c r="H37" s="81" t="s">
        <v>274</v>
      </c>
      <c r="I37" s="82">
        <f>ROUND(I36*20%,2)</f>
        <v>40182.89</v>
      </c>
    </row>
    <row r="38" spans="1:256" ht="12.75" customHeight="1" x14ac:dyDescent="0.2">
      <c r="A38" s="80" t="s">
        <v>226</v>
      </c>
      <c r="B38" s="224" t="s">
        <v>85</v>
      </c>
      <c r="C38" s="225"/>
      <c r="D38" s="224"/>
      <c r="E38" s="226"/>
      <c r="F38" s="226"/>
      <c r="G38" s="225"/>
      <c r="H38" s="83" t="s">
        <v>228</v>
      </c>
      <c r="I38" s="84">
        <f>I36+I37</f>
        <v>241097.330087532</v>
      </c>
    </row>
    <row r="40" spans="1:256" ht="12.75" customHeight="1" x14ac:dyDescent="0.25">
      <c r="A40" s="52" t="s">
        <v>209</v>
      </c>
      <c r="B40" s="52"/>
      <c r="C40" s="52"/>
      <c r="D40" s="52"/>
      <c r="E40" s="52"/>
      <c r="F40" s="52"/>
      <c r="G40" s="52"/>
      <c r="H40" s="52"/>
      <c r="I40" s="52"/>
      <c r="J40" s="52"/>
      <c r="K40" s="52"/>
      <c r="L40" s="52"/>
      <c r="M40" s="52"/>
      <c r="N40" s="52"/>
      <c r="O40" s="52"/>
      <c r="P40" s="52"/>
      <c r="Q40" s="52"/>
      <c r="R40" s="52"/>
      <c r="S40" s="52"/>
      <c r="T40" s="52"/>
      <c r="U40" s="52"/>
      <c r="V40" s="52"/>
      <c r="W40" s="52"/>
      <c r="X40" s="52"/>
      <c r="Y40" s="52"/>
      <c r="Z40" s="52"/>
      <c r="AA40" s="52"/>
      <c r="AB40" s="52"/>
      <c r="AC40" s="52"/>
      <c r="AD40" s="52"/>
      <c r="AE40" s="52"/>
      <c r="AF40" s="52"/>
      <c r="AG40" s="52"/>
      <c r="AH40" s="52"/>
      <c r="AI40" s="52"/>
      <c r="AJ40" s="52"/>
      <c r="AK40" s="52"/>
      <c r="AL40" s="52"/>
      <c r="AM40" s="52"/>
      <c r="AN40" s="52"/>
      <c r="AO40" s="52"/>
      <c r="AP40" s="52"/>
      <c r="AQ40" s="52"/>
      <c r="AR40" s="52"/>
      <c r="AS40" s="52"/>
      <c r="AT40" s="52"/>
      <c r="AU40" s="52"/>
      <c r="AV40" s="52"/>
      <c r="AW40" s="52"/>
      <c r="AX40" s="52"/>
      <c r="AY40" s="52"/>
      <c r="AZ40" s="52"/>
      <c r="BA40" s="52"/>
      <c r="BB40" s="52"/>
      <c r="BC40" s="52"/>
      <c r="BD40" s="52"/>
      <c r="BE40" s="52"/>
      <c r="BF40" s="52"/>
      <c r="BG40" s="52"/>
      <c r="BH40" s="52"/>
      <c r="BI40" s="52"/>
      <c r="BJ40" s="52"/>
      <c r="BK40" s="52"/>
      <c r="BL40" s="52"/>
      <c r="BM40" s="52"/>
      <c r="BN40" s="52"/>
      <c r="BO40" s="52"/>
      <c r="BP40" s="52"/>
      <c r="BQ40" s="52"/>
      <c r="BR40" s="52"/>
      <c r="BS40" s="52"/>
      <c r="BT40" s="52"/>
      <c r="BU40" s="52"/>
      <c r="BV40" s="52"/>
      <c r="BW40" s="52"/>
      <c r="BX40" s="52"/>
      <c r="BY40" s="52"/>
      <c r="BZ40" s="52"/>
      <c r="CA40" s="52"/>
      <c r="CB40" s="52"/>
      <c r="CC40" s="52"/>
      <c r="CD40" s="52"/>
      <c r="CE40" s="52"/>
      <c r="CF40" s="52"/>
      <c r="CG40" s="52"/>
      <c r="CH40" s="52"/>
      <c r="CI40" s="52"/>
      <c r="CJ40" s="52"/>
      <c r="CK40" s="52"/>
      <c r="CL40" s="52"/>
      <c r="CM40" s="52"/>
      <c r="CN40" s="52"/>
      <c r="CO40" s="52"/>
      <c r="CP40" s="52"/>
      <c r="CQ40" s="52"/>
      <c r="CR40" s="52"/>
      <c r="CS40" s="52"/>
      <c r="CT40" s="52"/>
      <c r="CU40" s="52"/>
      <c r="CV40" s="52"/>
      <c r="CW40" s="52"/>
      <c r="CX40" s="52"/>
      <c r="CY40" s="52"/>
      <c r="CZ40" s="52"/>
      <c r="DA40" s="52"/>
      <c r="DB40" s="52"/>
      <c r="DC40" s="52"/>
      <c r="DD40" s="52"/>
      <c r="DE40" s="52"/>
      <c r="DF40" s="52"/>
      <c r="DG40" s="52"/>
      <c r="DH40" s="52"/>
      <c r="DI40" s="52"/>
      <c r="DJ40" s="52"/>
      <c r="DK40" s="52"/>
      <c r="DL40" s="52"/>
      <c r="DM40" s="52"/>
      <c r="DN40" s="52"/>
      <c r="DO40" s="52"/>
      <c r="DP40" s="52"/>
      <c r="DQ40" s="52"/>
      <c r="DR40" s="52"/>
      <c r="DS40" s="52"/>
      <c r="DT40" s="52"/>
      <c r="DU40" s="52"/>
      <c r="DV40" s="52"/>
      <c r="DW40" s="52"/>
      <c r="DX40" s="52"/>
      <c r="DY40" s="52"/>
      <c r="DZ40" s="52"/>
      <c r="EA40" s="52"/>
      <c r="EB40" s="52"/>
      <c r="EC40" s="52"/>
      <c r="ED40" s="52"/>
      <c r="EE40" s="52"/>
      <c r="EF40" s="52"/>
      <c r="EG40" s="52"/>
      <c r="EH40" s="52"/>
      <c r="EI40" s="52"/>
      <c r="EJ40" s="52"/>
      <c r="EK40" s="52"/>
      <c r="EL40" s="52"/>
      <c r="EM40" s="52"/>
      <c r="EN40" s="52"/>
      <c r="EO40" s="52"/>
      <c r="EP40" s="52"/>
      <c r="EQ40" s="52"/>
      <c r="ER40" s="52"/>
      <c r="ES40" s="52"/>
      <c r="ET40" s="52"/>
      <c r="EU40" s="52"/>
      <c r="EV40" s="52"/>
      <c r="EW40" s="52"/>
      <c r="EX40" s="52"/>
      <c r="EY40" s="52"/>
      <c r="EZ40" s="52"/>
      <c r="FA40" s="52"/>
      <c r="FB40" s="52"/>
      <c r="FC40" s="52"/>
      <c r="FD40" s="52"/>
      <c r="FE40" s="52"/>
      <c r="FF40" s="52"/>
      <c r="FG40" s="52"/>
      <c r="FH40" s="52"/>
      <c r="FI40" s="52"/>
      <c r="FJ40" s="52"/>
      <c r="FK40" s="52"/>
      <c r="FL40" s="52"/>
      <c r="FM40" s="52"/>
      <c r="FN40" s="52"/>
      <c r="FO40" s="52"/>
      <c r="FP40" s="52"/>
      <c r="FQ40" s="52"/>
      <c r="FR40" s="52"/>
      <c r="FS40" s="52"/>
      <c r="FT40" s="52"/>
      <c r="FU40" s="52"/>
      <c r="FV40" s="52"/>
      <c r="FW40" s="52"/>
      <c r="FX40" s="52"/>
      <c r="FY40" s="52"/>
      <c r="FZ40" s="52"/>
      <c r="GA40" s="52"/>
      <c r="GB40" s="52"/>
      <c r="GC40" s="52"/>
      <c r="GD40" s="52"/>
      <c r="GE40" s="52"/>
      <c r="GF40" s="52"/>
      <c r="GG40" s="52"/>
      <c r="GH40" s="52"/>
      <c r="GI40" s="52"/>
      <c r="GJ40" s="52"/>
      <c r="GK40" s="52"/>
      <c r="GL40" s="52"/>
      <c r="GM40" s="52"/>
      <c r="GN40" s="52"/>
      <c r="GO40" s="52"/>
      <c r="GP40" s="52"/>
      <c r="GQ40" s="52"/>
      <c r="GR40" s="52"/>
      <c r="GS40" s="52"/>
      <c r="GT40" s="52"/>
      <c r="GU40" s="52"/>
      <c r="GV40" s="52"/>
      <c r="GW40" s="52"/>
      <c r="GX40" s="52"/>
      <c r="GY40" s="52"/>
      <c r="GZ40" s="52"/>
      <c r="HA40" s="52"/>
      <c r="HB40" s="52"/>
      <c r="HC40" s="52"/>
      <c r="HD40" s="52"/>
      <c r="HE40" s="52"/>
      <c r="HF40" s="52"/>
      <c r="HG40" s="52"/>
      <c r="HH40" s="52"/>
      <c r="HI40" s="52"/>
      <c r="HJ40" s="52"/>
      <c r="HK40" s="52"/>
      <c r="HL40" s="52"/>
      <c r="HM40" s="52"/>
      <c r="HN40" s="52"/>
      <c r="HO40" s="52"/>
      <c r="HP40" s="52"/>
      <c r="HQ40" s="52"/>
      <c r="HR40" s="52"/>
      <c r="HS40" s="52"/>
      <c r="HT40" s="52"/>
      <c r="HU40" s="52"/>
      <c r="HV40" s="52"/>
      <c r="HW40" s="52"/>
      <c r="HX40" s="52"/>
      <c r="HY40" s="52"/>
      <c r="HZ40" s="52"/>
      <c r="IA40" s="52"/>
      <c r="IB40" s="52"/>
      <c r="IC40" s="52"/>
      <c r="ID40" s="52"/>
      <c r="IE40" s="52"/>
      <c r="IF40" s="52"/>
      <c r="IG40" s="52"/>
      <c r="IH40" s="52"/>
      <c r="II40" s="52"/>
      <c r="IJ40" s="52"/>
      <c r="IK40" s="52"/>
      <c r="IL40" s="52"/>
      <c r="IM40" s="52"/>
      <c r="IN40" s="52"/>
      <c r="IO40" s="52"/>
      <c r="IP40" s="52"/>
      <c r="IQ40" s="52"/>
      <c r="IR40" s="52"/>
      <c r="IS40" s="52"/>
      <c r="IT40" s="52"/>
      <c r="IU40" s="52"/>
      <c r="IV40" s="52"/>
    </row>
    <row r="41" spans="1:256" ht="13.5" customHeight="1" x14ac:dyDescent="0.25">
      <c r="A41" s="1" t="s">
        <v>27</v>
      </c>
      <c r="B41" s="1"/>
      <c r="C41" s="1"/>
      <c r="D41" s="52"/>
      <c r="E41" s="52"/>
      <c r="F41" s="52"/>
      <c r="G41" s="52"/>
      <c r="H41" s="52"/>
      <c r="I41" s="52"/>
      <c r="J41" s="52"/>
      <c r="K41" s="52"/>
      <c r="L41" s="52"/>
      <c r="M41" s="52"/>
      <c r="N41" s="52"/>
      <c r="O41" s="52"/>
      <c r="P41" s="52"/>
      <c r="Q41" s="52"/>
      <c r="R41" s="52"/>
      <c r="S41" s="52"/>
      <c r="T41" s="52"/>
      <c r="U41" s="52"/>
      <c r="V41" s="52"/>
      <c r="W41" s="52"/>
      <c r="X41" s="52"/>
      <c r="Y41" s="52"/>
      <c r="Z41" s="52"/>
      <c r="AA41" s="52"/>
      <c r="AB41" s="52"/>
      <c r="AC41" s="52"/>
      <c r="AD41" s="52"/>
      <c r="AE41" s="52"/>
      <c r="AF41" s="52"/>
      <c r="AG41" s="52"/>
      <c r="AH41" s="52"/>
      <c r="AI41" s="52"/>
      <c r="AJ41" s="52"/>
      <c r="AK41" s="52"/>
      <c r="AL41" s="52"/>
      <c r="AM41" s="52"/>
      <c r="AN41" s="52"/>
      <c r="AO41" s="52"/>
      <c r="AP41" s="52"/>
      <c r="AQ41" s="52"/>
      <c r="AR41" s="52"/>
      <c r="AS41" s="52"/>
      <c r="AT41" s="52"/>
      <c r="AU41" s="52"/>
      <c r="AV41" s="52"/>
      <c r="AW41" s="52"/>
      <c r="AX41" s="52"/>
      <c r="AY41" s="52"/>
      <c r="AZ41" s="52"/>
      <c r="BA41" s="52"/>
      <c r="BB41" s="52"/>
      <c r="BC41" s="52"/>
      <c r="BD41" s="52"/>
      <c r="BE41" s="52"/>
      <c r="BF41" s="52"/>
      <c r="BG41" s="52"/>
      <c r="BH41" s="52"/>
      <c r="BI41" s="52"/>
      <c r="BJ41" s="52"/>
      <c r="BK41" s="52"/>
      <c r="BL41" s="52"/>
      <c r="BM41" s="52"/>
      <c r="BN41" s="52"/>
      <c r="BO41" s="52"/>
      <c r="BP41" s="52"/>
      <c r="BQ41" s="52"/>
      <c r="BR41" s="52"/>
      <c r="BS41" s="52"/>
      <c r="BT41" s="52"/>
      <c r="BU41" s="52"/>
      <c r="BV41" s="52"/>
      <c r="BW41" s="52"/>
      <c r="BX41" s="52"/>
      <c r="BY41" s="52"/>
      <c r="BZ41" s="52"/>
      <c r="CA41" s="52"/>
      <c r="CB41" s="52"/>
      <c r="CC41" s="52"/>
      <c r="CD41" s="52"/>
      <c r="CE41" s="52"/>
      <c r="CF41" s="52"/>
      <c r="CG41" s="52"/>
      <c r="CH41" s="52"/>
      <c r="CI41" s="52"/>
      <c r="CJ41" s="52"/>
      <c r="CK41" s="52"/>
      <c r="CL41" s="52"/>
      <c r="CM41" s="52"/>
      <c r="CN41" s="52"/>
      <c r="CO41" s="52"/>
      <c r="CP41" s="52"/>
      <c r="CQ41" s="52"/>
      <c r="CR41" s="52"/>
      <c r="CS41" s="52"/>
      <c r="CT41" s="52"/>
      <c r="CU41" s="52"/>
      <c r="CV41" s="52"/>
      <c r="CW41" s="52"/>
      <c r="CX41" s="52"/>
      <c r="CY41" s="52"/>
      <c r="CZ41" s="52"/>
      <c r="DA41" s="52"/>
      <c r="DB41" s="52"/>
      <c r="DC41" s="52"/>
      <c r="DD41" s="52"/>
      <c r="DE41" s="52"/>
      <c r="DF41" s="52"/>
      <c r="DG41" s="52"/>
      <c r="DH41" s="52"/>
      <c r="DI41" s="52"/>
      <c r="DJ41" s="52"/>
      <c r="DK41" s="52"/>
      <c r="DL41" s="52"/>
      <c r="DM41" s="52"/>
      <c r="DN41" s="52"/>
      <c r="DO41" s="52"/>
      <c r="DP41" s="52"/>
      <c r="DQ41" s="52"/>
      <c r="DR41" s="52"/>
      <c r="DS41" s="52"/>
      <c r="DT41" s="52"/>
      <c r="DU41" s="52"/>
      <c r="DV41" s="52"/>
      <c r="DW41" s="52"/>
      <c r="DX41" s="52"/>
      <c r="DY41" s="52"/>
      <c r="DZ41" s="52"/>
      <c r="EA41" s="52"/>
      <c r="EB41" s="52"/>
      <c r="EC41" s="52"/>
      <c r="ED41" s="52"/>
      <c r="EE41" s="52"/>
      <c r="EF41" s="52"/>
      <c r="EG41" s="52"/>
      <c r="EH41" s="52"/>
      <c r="EI41" s="52"/>
      <c r="EJ41" s="52"/>
      <c r="EK41" s="52"/>
      <c r="EL41" s="52"/>
      <c r="EM41" s="52"/>
      <c r="EN41" s="52"/>
      <c r="EO41" s="52"/>
      <c r="EP41" s="52"/>
      <c r="EQ41" s="52"/>
      <c r="ER41" s="52"/>
      <c r="ES41" s="52"/>
      <c r="ET41" s="52"/>
      <c r="EU41" s="52"/>
      <c r="EV41" s="52"/>
      <c r="EW41" s="52"/>
      <c r="EX41" s="52"/>
      <c r="EY41" s="52"/>
      <c r="EZ41" s="52"/>
      <c r="FA41" s="52"/>
      <c r="FB41" s="52"/>
      <c r="FC41" s="52"/>
      <c r="FD41" s="52"/>
      <c r="FE41" s="52"/>
      <c r="FF41" s="52"/>
      <c r="FG41" s="52"/>
      <c r="FH41" s="52"/>
      <c r="FI41" s="52"/>
      <c r="FJ41" s="52"/>
      <c r="FK41" s="52"/>
      <c r="FL41" s="52"/>
      <c r="FM41" s="52"/>
      <c r="FN41" s="52"/>
      <c r="FO41" s="52"/>
      <c r="FP41" s="52"/>
      <c r="FQ41" s="52"/>
      <c r="FR41" s="52"/>
      <c r="FS41" s="52"/>
      <c r="FT41" s="52"/>
      <c r="FU41" s="52"/>
      <c r="FV41" s="52"/>
      <c r="FW41" s="52"/>
      <c r="FX41" s="52"/>
      <c r="FY41" s="52"/>
      <c r="FZ41" s="52"/>
      <c r="GA41" s="52"/>
      <c r="GB41" s="52"/>
      <c r="GC41" s="52"/>
      <c r="GD41" s="52"/>
      <c r="GE41" s="52"/>
      <c r="GF41" s="52"/>
      <c r="GG41" s="52"/>
      <c r="GH41" s="52"/>
      <c r="GI41" s="52"/>
      <c r="GJ41" s="52"/>
      <c r="GK41" s="52"/>
      <c r="GL41" s="52"/>
      <c r="GM41" s="52"/>
      <c r="GN41" s="52"/>
      <c r="GO41" s="52"/>
      <c r="GP41" s="52"/>
      <c r="GQ41" s="52"/>
      <c r="GR41" s="52"/>
      <c r="GS41" s="52"/>
      <c r="GT41" s="52"/>
      <c r="GU41" s="52"/>
      <c r="GV41" s="52"/>
      <c r="GW41" s="52"/>
      <c r="GX41" s="52"/>
      <c r="GY41" s="52"/>
      <c r="GZ41" s="52"/>
      <c r="HA41" s="52"/>
      <c r="HB41" s="52"/>
      <c r="HC41" s="52"/>
      <c r="HD41" s="52"/>
      <c r="HE41" s="52"/>
      <c r="HF41" s="52"/>
      <c r="HG41" s="52"/>
      <c r="HH41" s="52"/>
      <c r="HI41" s="52"/>
      <c r="HJ41" s="52"/>
      <c r="HK41" s="52"/>
      <c r="HL41" s="52"/>
      <c r="HM41" s="52"/>
      <c r="HN41" s="52"/>
      <c r="HO41" s="52"/>
      <c r="HP41" s="52"/>
      <c r="HQ41" s="52"/>
      <c r="HR41" s="52"/>
      <c r="HS41" s="52"/>
      <c r="HT41" s="52"/>
      <c r="HU41" s="52"/>
      <c r="HV41" s="52"/>
      <c r="HW41" s="52"/>
      <c r="HX41" s="52"/>
      <c r="HY41" s="52"/>
      <c r="HZ41" s="52"/>
      <c r="IA41" s="52"/>
      <c r="IB41" s="52"/>
      <c r="IC41" s="52"/>
      <c r="ID41" s="52"/>
      <c r="IE41" s="52"/>
      <c r="IF41" s="52"/>
      <c r="IG41" s="52"/>
      <c r="IH41" s="52"/>
      <c r="II41" s="52"/>
      <c r="IJ41" s="52"/>
      <c r="IK41" s="52"/>
      <c r="IL41" s="52"/>
      <c r="IM41" s="52"/>
      <c r="IN41" s="52"/>
      <c r="IO41" s="52"/>
      <c r="IP41" s="52"/>
      <c r="IQ41" s="52"/>
      <c r="IR41" s="52"/>
      <c r="IS41" s="52"/>
      <c r="IT41" s="52"/>
      <c r="IU41" s="52"/>
      <c r="IV41" s="52"/>
    </row>
    <row r="42" spans="1:256" ht="18" customHeight="1" x14ac:dyDescent="0.25">
      <c r="A42" s="1" t="s">
        <v>130</v>
      </c>
      <c r="B42" s="1"/>
      <c r="C42" s="1"/>
      <c r="D42" s="52"/>
      <c r="E42" s="52"/>
      <c r="F42" s="52"/>
      <c r="G42" s="52"/>
      <c r="H42" s="52"/>
      <c r="I42" s="52"/>
      <c r="J42" s="52"/>
      <c r="K42" s="52"/>
      <c r="L42" s="52"/>
      <c r="M42" s="52"/>
      <c r="N42" s="52"/>
      <c r="O42" s="52"/>
      <c r="P42" s="52"/>
      <c r="Q42" s="52"/>
      <c r="R42" s="52"/>
      <c r="S42" s="52"/>
      <c r="T42" s="52"/>
      <c r="U42" s="52"/>
      <c r="V42" s="52"/>
      <c r="W42" s="52"/>
      <c r="X42" s="52"/>
      <c r="Y42" s="52"/>
      <c r="Z42" s="52"/>
      <c r="AA42" s="52"/>
      <c r="AB42" s="52"/>
      <c r="AC42" s="52"/>
      <c r="AD42" s="52"/>
      <c r="AE42" s="52"/>
      <c r="AF42" s="52"/>
      <c r="AG42" s="52"/>
      <c r="AH42" s="52"/>
      <c r="AI42" s="52"/>
      <c r="AJ42" s="52"/>
      <c r="AK42" s="52"/>
      <c r="AL42" s="52"/>
      <c r="AM42" s="52"/>
      <c r="AN42" s="52"/>
      <c r="AO42" s="52"/>
      <c r="AP42" s="52"/>
      <c r="AQ42" s="52"/>
      <c r="AR42" s="52"/>
      <c r="AS42" s="52"/>
      <c r="AT42" s="52"/>
      <c r="AU42" s="52"/>
      <c r="AV42" s="52"/>
      <c r="AW42" s="52"/>
      <c r="AX42" s="52"/>
      <c r="AY42" s="52"/>
      <c r="AZ42" s="52"/>
      <c r="BA42" s="52"/>
      <c r="BB42" s="52"/>
      <c r="BC42" s="52"/>
      <c r="BD42" s="52"/>
      <c r="BE42" s="52"/>
      <c r="BF42" s="52"/>
      <c r="BG42" s="52"/>
      <c r="BH42" s="52"/>
      <c r="BI42" s="52"/>
      <c r="BJ42" s="52"/>
      <c r="BK42" s="52"/>
      <c r="BL42" s="52"/>
      <c r="BM42" s="52"/>
      <c r="BN42" s="52"/>
      <c r="BO42" s="52"/>
      <c r="BP42" s="52"/>
      <c r="BQ42" s="52"/>
      <c r="BR42" s="52"/>
      <c r="BS42" s="52"/>
      <c r="BT42" s="52"/>
      <c r="BU42" s="52"/>
      <c r="BV42" s="52"/>
      <c r="BW42" s="52"/>
      <c r="BX42" s="52"/>
      <c r="BY42" s="52"/>
      <c r="BZ42" s="52"/>
      <c r="CA42" s="52"/>
      <c r="CB42" s="52"/>
      <c r="CC42" s="52"/>
      <c r="CD42" s="52"/>
      <c r="CE42" s="52"/>
      <c r="CF42" s="52"/>
      <c r="CG42" s="52"/>
      <c r="CH42" s="52"/>
      <c r="CI42" s="52"/>
      <c r="CJ42" s="52"/>
      <c r="CK42" s="52"/>
      <c r="CL42" s="52"/>
      <c r="CM42" s="52"/>
      <c r="CN42" s="52"/>
      <c r="CO42" s="52"/>
      <c r="CP42" s="52"/>
      <c r="CQ42" s="52"/>
      <c r="CR42" s="52"/>
      <c r="CS42" s="52"/>
      <c r="CT42" s="52"/>
      <c r="CU42" s="52"/>
      <c r="CV42" s="52"/>
      <c r="CW42" s="52"/>
      <c r="CX42" s="52"/>
      <c r="CY42" s="52"/>
      <c r="CZ42" s="52"/>
      <c r="DA42" s="52"/>
      <c r="DB42" s="52"/>
      <c r="DC42" s="52"/>
      <c r="DD42" s="52"/>
      <c r="DE42" s="52"/>
      <c r="DF42" s="52"/>
      <c r="DG42" s="52"/>
      <c r="DH42" s="52"/>
      <c r="DI42" s="52"/>
      <c r="DJ42" s="52"/>
      <c r="DK42" s="52"/>
      <c r="DL42" s="52"/>
      <c r="DM42" s="52"/>
      <c r="DN42" s="52"/>
      <c r="DO42" s="52"/>
      <c r="DP42" s="52"/>
      <c r="DQ42" s="52"/>
      <c r="DR42" s="52"/>
      <c r="DS42" s="52"/>
      <c r="DT42" s="52"/>
      <c r="DU42" s="52"/>
      <c r="DV42" s="52"/>
      <c r="DW42" s="52"/>
      <c r="DX42" s="52"/>
      <c r="DY42" s="52"/>
      <c r="DZ42" s="52"/>
      <c r="EA42" s="52"/>
      <c r="EB42" s="52"/>
      <c r="EC42" s="52"/>
      <c r="ED42" s="52"/>
      <c r="EE42" s="52"/>
      <c r="EF42" s="52"/>
      <c r="EG42" s="52"/>
      <c r="EH42" s="52"/>
      <c r="EI42" s="52"/>
      <c r="EJ42" s="52"/>
      <c r="EK42" s="52"/>
      <c r="EL42" s="52"/>
      <c r="EM42" s="52"/>
      <c r="EN42" s="52"/>
      <c r="EO42" s="52"/>
      <c r="EP42" s="52"/>
      <c r="EQ42" s="52"/>
      <c r="ER42" s="52"/>
      <c r="ES42" s="52"/>
      <c r="ET42" s="52"/>
      <c r="EU42" s="52"/>
      <c r="EV42" s="52"/>
      <c r="EW42" s="52"/>
      <c r="EX42" s="52"/>
      <c r="EY42" s="52"/>
      <c r="EZ42" s="52"/>
      <c r="FA42" s="52"/>
      <c r="FB42" s="52"/>
      <c r="FC42" s="52"/>
      <c r="FD42" s="52"/>
      <c r="FE42" s="52"/>
      <c r="FF42" s="52"/>
      <c r="FG42" s="52"/>
      <c r="FH42" s="52"/>
      <c r="FI42" s="52"/>
      <c r="FJ42" s="52"/>
      <c r="FK42" s="52"/>
      <c r="FL42" s="52"/>
      <c r="FM42" s="52"/>
      <c r="FN42" s="52"/>
      <c r="FO42" s="52"/>
      <c r="FP42" s="52"/>
      <c r="FQ42" s="52"/>
      <c r="FR42" s="52"/>
      <c r="FS42" s="52"/>
      <c r="FT42" s="52"/>
      <c r="FU42" s="52"/>
      <c r="FV42" s="52"/>
      <c r="FW42" s="52"/>
      <c r="FX42" s="52"/>
      <c r="FY42" s="52"/>
      <c r="FZ42" s="52"/>
      <c r="GA42" s="52"/>
      <c r="GB42" s="52"/>
      <c r="GC42" s="52"/>
      <c r="GD42" s="52"/>
      <c r="GE42" s="52"/>
      <c r="GF42" s="52"/>
      <c r="GG42" s="52"/>
      <c r="GH42" s="52"/>
      <c r="GI42" s="52"/>
      <c r="GJ42" s="52"/>
      <c r="GK42" s="52"/>
      <c r="GL42" s="52"/>
      <c r="GM42" s="52"/>
      <c r="GN42" s="52"/>
      <c r="GO42" s="52"/>
      <c r="GP42" s="52"/>
      <c r="GQ42" s="52"/>
      <c r="GR42" s="52"/>
      <c r="GS42" s="52"/>
      <c r="GT42" s="52"/>
      <c r="GU42" s="52"/>
      <c r="GV42" s="52"/>
      <c r="GW42" s="52"/>
      <c r="GX42" s="52"/>
      <c r="GY42" s="52"/>
      <c r="GZ42" s="52"/>
      <c r="HA42" s="52"/>
      <c r="HB42" s="52"/>
      <c r="HC42" s="52"/>
      <c r="HD42" s="52"/>
      <c r="HE42" s="52"/>
      <c r="HF42" s="52"/>
      <c r="HG42" s="52"/>
      <c r="HH42" s="52"/>
      <c r="HI42" s="52"/>
      <c r="HJ42" s="52"/>
      <c r="HK42" s="52"/>
      <c r="HL42" s="52"/>
      <c r="HM42" s="52"/>
      <c r="HN42" s="52"/>
      <c r="HO42" s="52"/>
      <c r="HP42" s="52"/>
      <c r="HQ42" s="52"/>
      <c r="HR42" s="52"/>
      <c r="HS42" s="52"/>
      <c r="HT42" s="52"/>
      <c r="HU42" s="52"/>
      <c r="HV42" s="52"/>
      <c r="HW42" s="52"/>
      <c r="HX42" s="52"/>
      <c r="HY42" s="52"/>
      <c r="HZ42" s="52"/>
      <c r="IA42" s="52"/>
      <c r="IB42" s="52"/>
      <c r="IC42" s="52"/>
      <c r="ID42" s="52"/>
      <c r="IE42" s="52"/>
      <c r="IF42" s="52"/>
      <c r="IG42" s="52"/>
      <c r="IH42" s="52"/>
      <c r="II42" s="52"/>
      <c r="IJ42" s="52"/>
      <c r="IK42" s="52"/>
      <c r="IL42" s="52"/>
      <c r="IM42" s="52"/>
      <c r="IN42" s="52"/>
      <c r="IO42" s="52"/>
      <c r="IP42" s="52"/>
      <c r="IQ42" s="52"/>
      <c r="IR42" s="52"/>
      <c r="IS42" s="52"/>
      <c r="IT42" s="52"/>
      <c r="IU42" s="52"/>
      <c r="IV42" s="52"/>
    </row>
    <row r="43" spans="1:256" ht="18.75" customHeight="1" x14ac:dyDescent="0.25">
      <c r="A43" s="2" t="s">
        <v>28</v>
      </c>
      <c r="B43" s="52"/>
      <c r="C43" s="52"/>
      <c r="D43" s="52"/>
      <c r="E43" s="52"/>
      <c r="F43" s="52"/>
      <c r="G43" s="52"/>
      <c r="H43" s="52"/>
      <c r="I43" s="52"/>
      <c r="J43" s="52"/>
      <c r="K43" s="52"/>
      <c r="L43" s="52"/>
      <c r="M43" s="52"/>
      <c r="N43" s="52"/>
      <c r="O43" s="52"/>
      <c r="P43" s="52"/>
      <c r="Q43" s="52"/>
      <c r="R43" s="52"/>
      <c r="S43" s="52"/>
      <c r="T43" s="52"/>
      <c r="U43" s="52"/>
      <c r="V43" s="52"/>
      <c r="W43" s="52"/>
      <c r="X43" s="52"/>
      <c r="Y43" s="52"/>
      <c r="Z43" s="52"/>
      <c r="AA43" s="52"/>
      <c r="AB43" s="52"/>
      <c r="AC43" s="52"/>
      <c r="AD43" s="52"/>
      <c r="AE43" s="52"/>
      <c r="AF43" s="52"/>
      <c r="AG43" s="52"/>
      <c r="AH43" s="52"/>
      <c r="AI43" s="52"/>
      <c r="AJ43" s="52"/>
      <c r="AK43" s="52"/>
      <c r="AL43" s="52"/>
      <c r="AM43" s="52"/>
      <c r="AN43" s="52"/>
      <c r="AO43" s="52"/>
      <c r="AP43" s="52"/>
      <c r="AQ43" s="52"/>
      <c r="AR43" s="52"/>
      <c r="AS43" s="52"/>
      <c r="AT43" s="52"/>
      <c r="AU43" s="52"/>
      <c r="AV43" s="52"/>
      <c r="AW43" s="52"/>
      <c r="AX43" s="52"/>
      <c r="AY43" s="52"/>
      <c r="AZ43" s="52"/>
      <c r="BA43" s="52"/>
      <c r="BB43" s="52"/>
      <c r="BC43" s="52"/>
      <c r="BD43" s="52"/>
      <c r="BE43" s="52"/>
      <c r="BF43" s="52"/>
      <c r="BG43" s="52"/>
      <c r="BH43" s="52"/>
      <c r="BI43" s="52"/>
      <c r="BJ43" s="52"/>
      <c r="BK43" s="52"/>
      <c r="BL43" s="52"/>
      <c r="BM43" s="52"/>
      <c r="BN43" s="52"/>
      <c r="BO43" s="52"/>
      <c r="BP43" s="52"/>
      <c r="BQ43" s="52"/>
      <c r="BR43" s="52"/>
      <c r="BS43" s="52"/>
      <c r="BT43" s="52"/>
      <c r="BU43" s="52"/>
      <c r="BV43" s="52"/>
      <c r="BW43" s="52"/>
      <c r="BX43" s="52"/>
      <c r="BY43" s="52"/>
      <c r="BZ43" s="52"/>
      <c r="CA43" s="52"/>
      <c r="CB43" s="52"/>
      <c r="CC43" s="52"/>
      <c r="CD43" s="52"/>
      <c r="CE43" s="52"/>
      <c r="CF43" s="52"/>
      <c r="CG43" s="52"/>
      <c r="CH43" s="52"/>
      <c r="CI43" s="52"/>
      <c r="CJ43" s="52"/>
      <c r="CK43" s="52"/>
      <c r="CL43" s="52"/>
      <c r="CM43" s="52"/>
      <c r="CN43" s="52"/>
      <c r="CO43" s="52"/>
      <c r="CP43" s="52"/>
      <c r="CQ43" s="52"/>
      <c r="CR43" s="52"/>
      <c r="CS43" s="52"/>
      <c r="CT43" s="52"/>
      <c r="CU43" s="52"/>
      <c r="CV43" s="52"/>
      <c r="CW43" s="52"/>
      <c r="CX43" s="52"/>
      <c r="CY43" s="52"/>
      <c r="CZ43" s="52"/>
      <c r="DA43" s="52"/>
      <c r="DB43" s="52"/>
      <c r="DC43" s="52"/>
      <c r="DD43" s="52"/>
      <c r="DE43" s="52"/>
      <c r="DF43" s="52"/>
      <c r="DG43" s="52"/>
      <c r="DH43" s="52"/>
      <c r="DI43" s="52"/>
      <c r="DJ43" s="52"/>
      <c r="DK43" s="52"/>
      <c r="DL43" s="52"/>
      <c r="DM43" s="52"/>
      <c r="DN43" s="52"/>
      <c r="DO43" s="52"/>
      <c r="DP43" s="52"/>
      <c r="DQ43" s="52"/>
      <c r="DR43" s="52"/>
      <c r="DS43" s="52"/>
      <c r="DT43" s="52"/>
      <c r="DU43" s="52"/>
      <c r="DV43" s="52"/>
      <c r="DW43" s="52"/>
      <c r="DX43" s="52"/>
      <c r="DY43" s="52"/>
      <c r="DZ43" s="52"/>
      <c r="EA43" s="52"/>
      <c r="EB43" s="52"/>
      <c r="EC43" s="52"/>
      <c r="ED43" s="52"/>
      <c r="EE43" s="52"/>
      <c r="EF43" s="52"/>
      <c r="EG43" s="52"/>
      <c r="EH43" s="52"/>
      <c r="EI43" s="52"/>
      <c r="EJ43" s="52"/>
      <c r="EK43" s="52"/>
      <c r="EL43" s="52"/>
      <c r="EM43" s="52"/>
      <c r="EN43" s="52"/>
      <c r="EO43" s="52"/>
      <c r="EP43" s="52"/>
      <c r="EQ43" s="52"/>
      <c r="ER43" s="52"/>
      <c r="ES43" s="52"/>
      <c r="ET43" s="52"/>
      <c r="EU43" s="52"/>
      <c r="EV43" s="52"/>
      <c r="EW43" s="52"/>
      <c r="EX43" s="52"/>
      <c r="EY43" s="52"/>
      <c r="EZ43" s="52"/>
      <c r="FA43" s="52"/>
      <c r="FB43" s="52"/>
      <c r="FC43" s="52"/>
      <c r="FD43" s="52"/>
      <c r="FE43" s="52"/>
      <c r="FF43" s="52"/>
      <c r="FG43" s="52"/>
      <c r="FH43" s="52"/>
      <c r="FI43" s="52"/>
      <c r="FJ43" s="52"/>
      <c r="FK43" s="52"/>
      <c r="FL43" s="52"/>
      <c r="FM43" s="52"/>
      <c r="FN43" s="52"/>
      <c r="FO43" s="52"/>
      <c r="FP43" s="52"/>
      <c r="FQ43" s="52"/>
      <c r="FR43" s="52"/>
      <c r="FS43" s="52"/>
      <c r="FT43" s="52"/>
      <c r="FU43" s="52"/>
      <c r="FV43" s="52"/>
      <c r="FW43" s="52"/>
      <c r="FX43" s="52"/>
      <c r="FY43" s="52"/>
      <c r="FZ43" s="52"/>
      <c r="GA43" s="52"/>
      <c r="GB43" s="52"/>
      <c r="GC43" s="52"/>
      <c r="GD43" s="52"/>
      <c r="GE43" s="52"/>
      <c r="GF43" s="52"/>
      <c r="GG43" s="52"/>
      <c r="GH43" s="52"/>
      <c r="GI43" s="52"/>
      <c r="GJ43" s="52"/>
      <c r="GK43" s="52"/>
      <c r="GL43" s="52"/>
      <c r="GM43" s="52"/>
      <c r="GN43" s="52"/>
      <c r="GO43" s="52"/>
      <c r="GP43" s="52"/>
      <c r="GQ43" s="52"/>
      <c r="GR43" s="52"/>
      <c r="GS43" s="52"/>
      <c r="GT43" s="52"/>
      <c r="GU43" s="52"/>
      <c r="GV43" s="52"/>
      <c r="GW43" s="52"/>
      <c r="GX43" s="52"/>
      <c r="GY43" s="52"/>
      <c r="GZ43" s="52"/>
      <c r="HA43" s="52"/>
      <c r="HB43" s="52"/>
      <c r="HC43" s="52"/>
      <c r="HD43" s="52"/>
      <c r="HE43" s="52"/>
      <c r="HF43" s="52"/>
      <c r="HG43" s="52"/>
      <c r="HH43" s="52"/>
      <c r="HI43" s="52"/>
      <c r="HJ43" s="52"/>
      <c r="HK43" s="52"/>
      <c r="HL43" s="52"/>
      <c r="HM43" s="52"/>
      <c r="HN43" s="52"/>
      <c r="HO43" s="52"/>
      <c r="HP43" s="52"/>
      <c r="HQ43" s="52"/>
      <c r="HR43" s="52"/>
      <c r="HS43" s="52"/>
      <c r="HT43" s="52"/>
      <c r="HU43" s="52"/>
      <c r="HV43" s="52"/>
      <c r="HW43" s="52"/>
      <c r="HX43" s="52"/>
      <c r="HY43" s="52"/>
      <c r="HZ43" s="52"/>
      <c r="IA43" s="52"/>
      <c r="IB43" s="52"/>
      <c r="IC43" s="52"/>
      <c r="ID43" s="52"/>
      <c r="IE43" s="52"/>
      <c r="IF43" s="52"/>
      <c r="IG43" s="52"/>
      <c r="IH43" s="52"/>
      <c r="II43" s="52"/>
      <c r="IJ43" s="52"/>
      <c r="IK43" s="52"/>
      <c r="IL43" s="52"/>
      <c r="IM43" s="52"/>
      <c r="IN43" s="52"/>
      <c r="IO43" s="52"/>
      <c r="IP43" s="52"/>
      <c r="IQ43" s="52"/>
      <c r="IR43" s="52"/>
      <c r="IS43" s="52"/>
      <c r="IT43" s="52"/>
      <c r="IU43" s="52"/>
      <c r="IV43" s="52"/>
    </row>
    <row r="44" spans="1:256" ht="17.25" customHeight="1" x14ac:dyDescent="0.25">
      <c r="A44" s="52" t="s">
        <v>352</v>
      </c>
      <c r="B44" s="52"/>
      <c r="C44" s="52"/>
      <c r="D44" s="52"/>
      <c r="E44" s="52"/>
      <c r="F44" s="52"/>
      <c r="G44" s="52"/>
      <c r="H44" s="52"/>
      <c r="I44" s="52"/>
      <c r="J44" s="52"/>
      <c r="K44" s="52"/>
      <c r="L44" s="52"/>
      <c r="M44" s="52"/>
      <c r="N44" s="52"/>
      <c r="O44" s="52"/>
      <c r="P44" s="52"/>
      <c r="Q44" s="52"/>
      <c r="R44" s="52"/>
      <c r="S44" s="52"/>
      <c r="T44" s="52"/>
      <c r="U44" s="52"/>
      <c r="V44" s="52"/>
      <c r="W44" s="52"/>
      <c r="X44" s="52"/>
      <c r="Y44" s="52"/>
      <c r="Z44" s="52"/>
      <c r="AA44" s="52"/>
      <c r="AB44" s="52"/>
      <c r="AC44" s="52"/>
      <c r="AD44" s="52"/>
      <c r="AE44" s="52"/>
      <c r="AF44" s="52"/>
      <c r="AG44" s="52"/>
      <c r="AH44" s="52"/>
      <c r="AI44" s="52"/>
      <c r="AJ44" s="52"/>
      <c r="AK44" s="52"/>
      <c r="AL44" s="52"/>
      <c r="AM44" s="52"/>
      <c r="AN44" s="52"/>
      <c r="AO44" s="52"/>
      <c r="AP44" s="52"/>
      <c r="AQ44" s="52"/>
      <c r="AR44" s="52"/>
      <c r="AS44" s="52"/>
      <c r="AT44" s="52"/>
      <c r="AU44" s="52"/>
      <c r="AV44" s="52"/>
      <c r="AW44" s="52"/>
      <c r="AX44" s="52"/>
      <c r="AY44" s="52"/>
      <c r="AZ44" s="52"/>
      <c r="BA44" s="52"/>
      <c r="BB44" s="52"/>
      <c r="BC44" s="52"/>
      <c r="BD44" s="52"/>
      <c r="BE44" s="52"/>
      <c r="BF44" s="52"/>
      <c r="BG44" s="52"/>
      <c r="BH44" s="52"/>
      <c r="BI44" s="52"/>
      <c r="BJ44" s="52"/>
      <c r="BK44" s="52"/>
      <c r="BL44" s="52"/>
      <c r="BM44" s="52"/>
      <c r="BN44" s="52"/>
      <c r="BO44" s="52"/>
      <c r="BP44" s="52"/>
      <c r="BQ44" s="52"/>
      <c r="BR44" s="52"/>
      <c r="BS44" s="52"/>
      <c r="BT44" s="52"/>
      <c r="BU44" s="52"/>
      <c r="BV44" s="52"/>
      <c r="BW44" s="52"/>
      <c r="BX44" s="52"/>
      <c r="BY44" s="52"/>
      <c r="BZ44" s="52"/>
      <c r="CA44" s="52"/>
      <c r="CB44" s="52"/>
      <c r="CC44" s="52"/>
      <c r="CD44" s="52"/>
      <c r="CE44" s="52"/>
      <c r="CF44" s="52"/>
      <c r="CG44" s="52"/>
      <c r="CH44" s="52"/>
      <c r="CI44" s="52"/>
      <c r="CJ44" s="52"/>
      <c r="CK44" s="52"/>
      <c r="CL44" s="52"/>
      <c r="CM44" s="52"/>
      <c r="CN44" s="52"/>
      <c r="CO44" s="52"/>
      <c r="CP44" s="52"/>
      <c r="CQ44" s="52"/>
      <c r="CR44" s="52"/>
      <c r="CS44" s="52"/>
      <c r="CT44" s="52"/>
      <c r="CU44" s="52"/>
      <c r="CV44" s="52"/>
      <c r="CW44" s="52"/>
      <c r="CX44" s="52"/>
      <c r="CY44" s="52"/>
      <c r="CZ44" s="52"/>
      <c r="DA44" s="52"/>
      <c r="DB44" s="52"/>
      <c r="DC44" s="52"/>
      <c r="DD44" s="52"/>
      <c r="DE44" s="52"/>
      <c r="DF44" s="52"/>
      <c r="DG44" s="52"/>
      <c r="DH44" s="52"/>
      <c r="DI44" s="52"/>
      <c r="DJ44" s="52"/>
      <c r="DK44" s="52"/>
      <c r="DL44" s="52"/>
      <c r="DM44" s="52"/>
      <c r="DN44" s="52"/>
      <c r="DO44" s="52"/>
      <c r="DP44" s="52"/>
      <c r="DQ44" s="52"/>
      <c r="DR44" s="52"/>
      <c r="DS44" s="52"/>
      <c r="DT44" s="52"/>
      <c r="DU44" s="52"/>
      <c r="DV44" s="52"/>
      <c r="DW44" s="52"/>
      <c r="DX44" s="52"/>
      <c r="DY44" s="52"/>
      <c r="DZ44" s="52"/>
      <c r="EA44" s="52"/>
      <c r="EB44" s="52"/>
      <c r="EC44" s="52"/>
      <c r="ED44" s="52"/>
      <c r="EE44" s="52"/>
      <c r="EF44" s="52"/>
      <c r="EG44" s="52"/>
      <c r="EH44" s="52"/>
      <c r="EI44" s="52"/>
      <c r="EJ44" s="52"/>
      <c r="EK44" s="52"/>
      <c r="EL44" s="52"/>
      <c r="EM44" s="52"/>
      <c r="EN44" s="52"/>
      <c r="EO44" s="52"/>
      <c r="EP44" s="52"/>
      <c r="EQ44" s="52"/>
      <c r="ER44" s="52"/>
      <c r="ES44" s="52"/>
      <c r="ET44" s="52"/>
      <c r="EU44" s="52"/>
      <c r="EV44" s="52"/>
      <c r="EW44" s="52"/>
      <c r="EX44" s="52"/>
      <c r="EY44" s="52"/>
      <c r="EZ44" s="52"/>
      <c r="FA44" s="52"/>
      <c r="FB44" s="52"/>
      <c r="FC44" s="52"/>
      <c r="FD44" s="52"/>
      <c r="FE44" s="52"/>
      <c r="FF44" s="52"/>
      <c r="FG44" s="52"/>
      <c r="FH44" s="52"/>
      <c r="FI44" s="52"/>
      <c r="FJ44" s="52"/>
      <c r="FK44" s="52"/>
      <c r="FL44" s="52"/>
      <c r="FM44" s="52"/>
      <c r="FN44" s="52"/>
      <c r="FO44" s="52"/>
      <c r="FP44" s="52"/>
      <c r="FQ44" s="52"/>
      <c r="FR44" s="52"/>
      <c r="FS44" s="52"/>
      <c r="FT44" s="52"/>
      <c r="FU44" s="52"/>
      <c r="FV44" s="52"/>
      <c r="FW44" s="52"/>
      <c r="FX44" s="52"/>
      <c r="FY44" s="52"/>
      <c r="FZ44" s="52"/>
      <c r="GA44" s="52"/>
      <c r="GB44" s="52"/>
      <c r="GC44" s="52"/>
      <c r="GD44" s="52"/>
      <c r="GE44" s="52"/>
      <c r="GF44" s="52"/>
      <c r="GG44" s="52"/>
      <c r="GH44" s="52"/>
      <c r="GI44" s="52"/>
      <c r="GJ44" s="52"/>
      <c r="GK44" s="52"/>
      <c r="GL44" s="52"/>
      <c r="GM44" s="52"/>
      <c r="GN44" s="52"/>
      <c r="GO44" s="52"/>
      <c r="GP44" s="52"/>
      <c r="GQ44" s="52"/>
      <c r="GR44" s="52"/>
      <c r="GS44" s="52"/>
      <c r="GT44" s="52"/>
      <c r="GU44" s="52"/>
      <c r="GV44" s="52"/>
      <c r="GW44" s="52"/>
      <c r="GX44" s="52"/>
      <c r="GY44" s="52"/>
      <c r="GZ44" s="52"/>
      <c r="HA44" s="52"/>
      <c r="HB44" s="52"/>
      <c r="HC44" s="52"/>
      <c r="HD44" s="52"/>
      <c r="HE44" s="52"/>
      <c r="HF44" s="52"/>
      <c r="HG44" s="52"/>
      <c r="HH44" s="52"/>
      <c r="HI44" s="52"/>
      <c r="HJ44" s="52"/>
      <c r="HK44" s="52"/>
      <c r="HL44" s="52"/>
      <c r="HM44" s="52"/>
      <c r="HN44" s="52"/>
      <c r="HO44" s="52"/>
      <c r="HP44" s="52"/>
      <c r="HQ44" s="52"/>
      <c r="HR44" s="52"/>
      <c r="HS44" s="52"/>
      <c r="HT44" s="52"/>
      <c r="HU44" s="52"/>
      <c r="HV44" s="52"/>
      <c r="HW44" s="52"/>
      <c r="HX44" s="52"/>
      <c r="HY44" s="52"/>
      <c r="HZ44" s="52"/>
      <c r="IA44" s="52"/>
      <c r="IB44" s="52"/>
      <c r="IC44" s="52"/>
      <c r="ID44" s="52"/>
      <c r="IE44" s="52"/>
      <c r="IF44" s="52"/>
      <c r="IG44" s="52"/>
      <c r="IH44" s="52"/>
      <c r="II44" s="52"/>
      <c r="IJ44" s="52"/>
      <c r="IK44" s="52"/>
      <c r="IL44" s="52"/>
      <c r="IM44" s="52"/>
      <c r="IN44" s="52"/>
      <c r="IO44" s="52"/>
      <c r="IP44" s="52"/>
      <c r="IQ44" s="52"/>
      <c r="IR44" s="52"/>
      <c r="IS44" s="52"/>
      <c r="IT44" s="52"/>
      <c r="IU44" s="52"/>
      <c r="IV44" s="52"/>
    </row>
  </sheetData>
  <mergeCells count="48">
    <mergeCell ref="C1:I1"/>
    <mergeCell ref="A12:I12"/>
    <mergeCell ref="A13:I13"/>
    <mergeCell ref="A15:I15"/>
    <mergeCell ref="B17:C17"/>
    <mergeCell ref="D17:G17"/>
    <mergeCell ref="B18:C18"/>
    <mergeCell ref="D18:G18"/>
    <mergeCell ref="B19:C19"/>
    <mergeCell ref="D19:G19"/>
    <mergeCell ref="B20:C20"/>
    <mergeCell ref="D20:G20"/>
    <mergeCell ref="B21:C21"/>
    <mergeCell ref="D21:G21"/>
    <mergeCell ref="B22:C22"/>
    <mergeCell ref="D22:G22"/>
    <mergeCell ref="B23:C23"/>
    <mergeCell ref="D23:G23"/>
    <mergeCell ref="B24:C24"/>
    <mergeCell ref="D24:G24"/>
    <mergeCell ref="B25:C25"/>
    <mergeCell ref="D25:G25"/>
    <mergeCell ref="B26:C26"/>
    <mergeCell ref="D26:G26"/>
    <mergeCell ref="B27:C27"/>
    <mergeCell ref="D27:G27"/>
    <mergeCell ref="B28:C28"/>
    <mergeCell ref="D28:G28"/>
    <mergeCell ref="B29:C29"/>
    <mergeCell ref="D29:G29"/>
    <mergeCell ref="B30:C30"/>
    <mergeCell ref="D30:G30"/>
    <mergeCell ref="B31:C31"/>
    <mergeCell ref="D31:G31"/>
    <mergeCell ref="B32:C32"/>
    <mergeCell ref="D32:G32"/>
    <mergeCell ref="B33:C33"/>
    <mergeCell ref="D33:G33"/>
    <mergeCell ref="B34:C34"/>
    <mergeCell ref="D34:G34"/>
    <mergeCell ref="B35:C35"/>
    <mergeCell ref="D35:G35"/>
    <mergeCell ref="B36:C36"/>
    <mergeCell ref="D36:G36"/>
    <mergeCell ref="B37:C37"/>
    <mergeCell ref="D37:G37"/>
    <mergeCell ref="B38:C38"/>
    <mergeCell ref="D38:G38"/>
  </mergeCells>
  <pageMargins left="0.11811023622047245" right="0.19685039370078741" top="7.874015748031496E-2" bottom="0.19685039370078741" header="0.31496062992125984" footer="0.31496062992125984"/>
  <pageSetup paperSize="9" orientation="portrait" useFirstPageNumber="1" r:id="rId1"/>
  <headerFooter alignWithMargins="0">
    <oddFooter>&amp;CСтраница &amp;P</oddFooter>
  </headerFooter>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4"/>
  <sheetViews>
    <sheetView zoomScaleNormal="100" workbookViewId="0">
      <selection activeCell="G16" sqref="G16"/>
    </sheetView>
  </sheetViews>
  <sheetFormatPr defaultRowHeight="15.75" x14ac:dyDescent="0.25"/>
  <cols>
    <col min="1" max="1" width="4.7109375" style="1" customWidth="1"/>
    <col min="2" max="2" width="26.140625" style="1" customWidth="1"/>
    <col min="3" max="3" width="33" style="1" customWidth="1"/>
    <col min="4" max="4" width="26.42578125" style="1" customWidth="1"/>
    <col min="5" max="5" width="11.85546875" style="1" customWidth="1"/>
    <col min="6" max="16384" width="9.140625" style="1"/>
  </cols>
  <sheetData>
    <row r="1" spans="1:5" x14ac:dyDescent="0.25">
      <c r="B1" s="188" t="s">
        <v>445</v>
      </c>
      <c r="C1" s="188"/>
      <c r="D1" s="188"/>
    </row>
    <row r="3" spans="1:5" x14ac:dyDescent="0.25">
      <c r="A3" s="92" t="s">
        <v>230</v>
      </c>
      <c r="B3" s="93"/>
      <c r="C3" s="94"/>
      <c r="D3" s="92" t="s">
        <v>231</v>
      </c>
      <c r="E3"/>
    </row>
    <row r="4" spans="1:5" x14ac:dyDescent="0.25">
      <c r="A4" s="95" t="s">
        <v>232</v>
      </c>
      <c r="B4" s="96"/>
      <c r="C4" s="94"/>
      <c r="D4" s="95" t="s">
        <v>233</v>
      </c>
      <c r="E4"/>
    </row>
    <row r="5" spans="1:5" x14ac:dyDescent="0.25">
      <c r="A5" s="97" t="s">
        <v>4</v>
      </c>
      <c r="B5" s="98"/>
      <c r="C5" s="20"/>
      <c r="D5" s="97" t="s">
        <v>183</v>
      </c>
      <c r="E5" s="99"/>
    </row>
    <row r="6" spans="1:5" x14ac:dyDescent="0.25">
      <c r="A6" s="97" t="s">
        <v>235</v>
      </c>
      <c r="B6" s="98"/>
      <c r="C6" s="100"/>
      <c r="D6" s="97" t="s">
        <v>5</v>
      </c>
      <c r="E6" s="101"/>
    </row>
    <row r="7" spans="1:5" x14ac:dyDescent="0.25">
      <c r="A7"/>
      <c r="B7" s="102"/>
      <c r="C7"/>
      <c r="D7" s="97"/>
      <c r="E7" s="99"/>
    </row>
    <row r="8" spans="1:5" x14ac:dyDescent="0.25">
      <c r="A8" s="97" t="s">
        <v>236</v>
      </c>
      <c r="B8" s="98"/>
      <c r="D8" s="97" t="s">
        <v>237</v>
      </c>
      <c r="E8" s="99"/>
    </row>
    <row r="9" spans="1:5" x14ac:dyDescent="0.25">
      <c r="A9" s="97" t="s">
        <v>446</v>
      </c>
      <c r="B9" s="98"/>
      <c r="D9" s="97" t="s">
        <v>447</v>
      </c>
      <c r="E9" s="98"/>
    </row>
    <row r="10" spans="1:5" x14ac:dyDescent="0.25">
      <c r="A10" s="4"/>
      <c r="D10" s="5"/>
      <c r="E10" s="6"/>
    </row>
    <row r="11" spans="1:5" ht="18" customHeight="1" x14ac:dyDescent="0.25">
      <c r="A11" s="189" t="s">
        <v>10</v>
      </c>
      <c r="B11" s="189"/>
      <c r="C11" s="189"/>
      <c r="D11" s="189"/>
      <c r="E11" s="189"/>
    </row>
    <row r="12" spans="1:5" x14ac:dyDescent="0.25">
      <c r="C12" s="184" t="s">
        <v>159</v>
      </c>
    </row>
    <row r="13" spans="1:5" x14ac:dyDescent="0.25">
      <c r="C13" s="7"/>
    </row>
    <row r="14" spans="1:5" ht="40.5" customHeight="1" x14ac:dyDescent="0.25">
      <c r="A14" s="190" t="s">
        <v>477</v>
      </c>
      <c r="B14" s="190"/>
      <c r="C14" s="190"/>
      <c r="D14" s="190"/>
      <c r="E14" s="190"/>
    </row>
    <row r="15" spans="1:5" x14ac:dyDescent="0.25">
      <c r="A15" s="8"/>
      <c r="B15" s="8"/>
      <c r="C15" s="8"/>
      <c r="D15" s="8"/>
      <c r="E15" s="8"/>
    </row>
    <row r="16" spans="1:5" ht="95.25" customHeight="1" x14ac:dyDescent="0.25">
      <c r="A16" s="9" t="s">
        <v>12</v>
      </c>
      <c r="B16" s="9" t="s">
        <v>13</v>
      </c>
      <c r="C16" s="9" t="s">
        <v>14</v>
      </c>
      <c r="D16" s="9" t="s">
        <v>15</v>
      </c>
      <c r="E16" s="9" t="s">
        <v>16</v>
      </c>
    </row>
    <row r="17" spans="1:5" ht="123.75" customHeight="1" x14ac:dyDescent="0.25">
      <c r="A17" s="10">
        <v>1</v>
      </c>
      <c r="B17" s="11" t="s">
        <v>473</v>
      </c>
      <c r="C17" s="11" t="s">
        <v>474</v>
      </c>
      <c r="D17" s="12" t="s">
        <v>475</v>
      </c>
      <c r="E17" s="13">
        <f>12832.66*2.4*1.2*0.805*4.32</f>
        <v>128525.35223808001</v>
      </c>
    </row>
    <row r="18" spans="1:5" ht="65.25" customHeight="1" x14ac:dyDescent="0.25">
      <c r="A18" s="10">
        <v>2</v>
      </c>
      <c r="B18" s="185" t="s">
        <v>17</v>
      </c>
      <c r="C18" s="12" t="s">
        <v>18</v>
      </c>
      <c r="D18" s="12" t="s">
        <v>476</v>
      </c>
      <c r="E18" s="13">
        <f>800*2*0.5*4.32</f>
        <v>3456</v>
      </c>
    </row>
    <row r="19" spans="1:5" ht="48" customHeight="1" x14ac:dyDescent="0.25">
      <c r="A19" s="10">
        <v>3</v>
      </c>
      <c r="B19" s="12" t="s">
        <v>20</v>
      </c>
      <c r="C19" s="15" t="s">
        <v>21</v>
      </c>
      <c r="D19" s="16">
        <f>(E17+E18)*0.1</f>
        <v>13198.135223808</v>
      </c>
      <c r="E19" s="17">
        <f>D19</f>
        <v>13198.135223808</v>
      </c>
    </row>
    <row r="20" spans="1:5" ht="48" customHeight="1" x14ac:dyDescent="0.25">
      <c r="A20" s="10">
        <v>4</v>
      </c>
      <c r="B20" s="119" t="s">
        <v>80</v>
      </c>
      <c r="C20" s="12" t="s">
        <v>89</v>
      </c>
      <c r="D20" s="16"/>
      <c r="E20" s="17">
        <v>3327.5</v>
      </c>
    </row>
    <row r="21" spans="1:5" ht="48" customHeight="1" x14ac:dyDescent="0.25">
      <c r="A21" s="10">
        <v>5</v>
      </c>
      <c r="B21" s="183" t="s">
        <v>23</v>
      </c>
      <c r="C21" s="12"/>
      <c r="D21" s="16"/>
      <c r="E21" s="17">
        <v>29817.86</v>
      </c>
    </row>
    <row r="22" spans="1:5" x14ac:dyDescent="0.25">
      <c r="A22" s="28">
        <v>6</v>
      </c>
      <c r="B22" s="19" t="s">
        <v>24</v>
      </c>
      <c r="C22" s="15"/>
      <c r="D22" s="15" t="s">
        <v>287</v>
      </c>
      <c r="E22" s="17">
        <f>E19+E18+E17+E20+E21</f>
        <v>178324.84746188798</v>
      </c>
    </row>
    <row r="23" spans="1:5" x14ac:dyDescent="0.25">
      <c r="A23" s="28">
        <v>7</v>
      </c>
      <c r="B23" s="19" t="s">
        <v>249</v>
      </c>
      <c r="C23" s="15"/>
      <c r="D23" s="15" t="s">
        <v>288</v>
      </c>
      <c r="E23" s="17">
        <f>ROUND(E22*20%,2)</f>
        <v>35664.97</v>
      </c>
    </row>
    <row r="24" spans="1:5" x14ac:dyDescent="0.25">
      <c r="A24" s="28">
        <v>8</v>
      </c>
      <c r="B24" s="19" t="s">
        <v>26</v>
      </c>
      <c r="C24" s="15"/>
      <c r="D24" s="15" t="s">
        <v>289</v>
      </c>
      <c r="E24" s="17">
        <f>E22+E23</f>
        <v>213989.81746188799</v>
      </c>
    </row>
    <row r="25" spans="1:5" x14ac:dyDescent="0.25">
      <c r="A25" s="20"/>
      <c r="B25" s="21"/>
      <c r="C25" s="22"/>
      <c r="D25" s="22"/>
      <c r="E25" s="23"/>
    </row>
    <row r="26" spans="1:5" x14ac:dyDescent="0.25">
      <c r="A26" s="1" t="s">
        <v>2</v>
      </c>
    </row>
    <row r="27" spans="1:5" x14ac:dyDescent="0.25">
      <c r="A27" s="1" t="s">
        <v>27</v>
      </c>
    </row>
    <row r="28" spans="1:5" x14ac:dyDescent="0.25">
      <c r="A28" s="1" t="s">
        <v>31</v>
      </c>
    </row>
    <row r="29" spans="1:5" x14ac:dyDescent="0.25">
      <c r="A29" s="4" t="s">
        <v>28</v>
      </c>
    </row>
    <row r="30" spans="1:5" x14ac:dyDescent="0.25">
      <c r="A30" s="1" t="s">
        <v>352</v>
      </c>
    </row>
    <row r="34" spans="5:5" x14ac:dyDescent="0.25">
      <c r="E34" s="1" t="s">
        <v>30</v>
      </c>
    </row>
  </sheetData>
  <mergeCells count="3">
    <mergeCell ref="B1:D1"/>
    <mergeCell ref="A11:E11"/>
    <mergeCell ref="A14:E14"/>
  </mergeCells>
  <pageMargins left="0.19685039370078741" right="0.19685039370078741" top="0.19685039370078741" bottom="0.19685039370078741" header="0.51181102362204722" footer="0.51181102362204722"/>
  <pageSetup paperSize="9" orientation="portrait" r:id="rId1"/>
  <headerFooter alignWithMargins="0"/>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4"/>
  <sheetViews>
    <sheetView zoomScaleNormal="100" workbookViewId="0">
      <selection activeCell="A15" sqref="A15"/>
    </sheetView>
  </sheetViews>
  <sheetFormatPr defaultRowHeight="15.75" x14ac:dyDescent="0.25"/>
  <cols>
    <col min="1" max="1" width="4.7109375" style="1" customWidth="1"/>
    <col min="2" max="2" width="26.140625" style="1" customWidth="1"/>
    <col min="3" max="3" width="33" style="1" customWidth="1"/>
    <col min="4" max="4" width="26.42578125" style="1" customWidth="1"/>
    <col min="5" max="5" width="11.85546875" style="1" customWidth="1"/>
    <col min="6" max="16384" width="9.140625" style="1"/>
  </cols>
  <sheetData>
    <row r="1" spans="1:5" x14ac:dyDescent="0.25">
      <c r="B1" s="188" t="s">
        <v>445</v>
      </c>
      <c r="C1" s="188"/>
      <c r="D1" s="188"/>
    </row>
    <row r="3" spans="1:5" x14ac:dyDescent="0.25">
      <c r="A3" s="92" t="s">
        <v>230</v>
      </c>
      <c r="B3" s="93"/>
      <c r="C3" s="94"/>
      <c r="D3" s="92" t="s">
        <v>231</v>
      </c>
      <c r="E3"/>
    </row>
    <row r="4" spans="1:5" x14ac:dyDescent="0.25">
      <c r="A4" s="95" t="s">
        <v>232</v>
      </c>
      <c r="B4" s="96"/>
      <c r="C4" s="94"/>
      <c r="D4" s="95" t="s">
        <v>233</v>
      </c>
      <c r="E4"/>
    </row>
    <row r="5" spans="1:5" x14ac:dyDescent="0.25">
      <c r="A5" s="97" t="s">
        <v>4</v>
      </c>
      <c r="B5" s="98"/>
      <c r="C5" s="20"/>
      <c r="D5" s="97" t="s">
        <v>183</v>
      </c>
      <c r="E5" s="99"/>
    </row>
    <row r="6" spans="1:5" x14ac:dyDescent="0.25">
      <c r="A6" s="97" t="s">
        <v>235</v>
      </c>
      <c r="B6" s="98"/>
      <c r="C6" s="100"/>
      <c r="D6" s="97" t="s">
        <v>5</v>
      </c>
      <c r="E6" s="101"/>
    </row>
    <row r="7" spans="1:5" x14ac:dyDescent="0.25">
      <c r="A7"/>
      <c r="B7" s="102"/>
      <c r="C7"/>
      <c r="D7" s="97"/>
      <c r="E7" s="99"/>
    </row>
    <row r="8" spans="1:5" x14ac:dyDescent="0.25">
      <c r="A8" s="97" t="s">
        <v>236</v>
      </c>
      <c r="B8" s="98"/>
      <c r="D8" s="97" t="s">
        <v>237</v>
      </c>
      <c r="E8" s="99"/>
    </row>
    <row r="9" spans="1:5" x14ac:dyDescent="0.25">
      <c r="A9" s="97" t="s">
        <v>446</v>
      </c>
      <c r="B9" s="98"/>
      <c r="D9" s="97" t="s">
        <v>447</v>
      </c>
      <c r="E9" s="98"/>
    </row>
    <row r="10" spans="1:5" x14ac:dyDescent="0.25">
      <c r="A10" s="4"/>
      <c r="D10" s="5"/>
      <c r="E10" s="6"/>
    </row>
    <row r="11" spans="1:5" ht="18" customHeight="1" x14ac:dyDescent="0.25">
      <c r="A11" s="189" t="s">
        <v>10</v>
      </c>
      <c r="B11" s="189"/>
      <c r="C11" s="189"/>
      <c r="D11" s="189"/>
      <c r="E11" s="189"/>
    </row>
    <row r="12" spans="1:5" x14ac:dyDescent="0.25">
      <c r="C12" s="186" t="s">
        <v>159</v>
      </c>
    </row>
    <row r="13" spans="1:5" x14ac:dyDescent="0.25">
      <c r="C13" s="7"/>
    </row>
    <row r="14" spans="1:5" ht="40.5" customHeight="1" x14ac:dyDescent="0.25">
      <c r="A14" s="190" t="s">
        <v>482</v>
      </c>
      <c r="B14" s="190"/>
      <c r="C14" s="190"/>
      <c r="D14" s="190"/>
      <c r="E14" s="190"/>
    </row>
    <row r="15" spans="1:5" x14ac:dyDescent="0.25">
      <c r="A15" s="8"/>
      <c r="B15" s="8"/>
      <c r="C15" s="8"/>
      <c r="D15" s="8"/>
      <c r="E15" s="8"/>
    </row>
    <row r="16" spans="1:5" ht="95.25" customHeight="1" x14ac:dyDescent="0.25">
      <c r="A16" s="9" t="s">
        <v>12</v>
      </c>
      <c r="B16" s="9" t="s">
        <v>13</v>
      </c>
      <c r="C16" s="9" t="s">
        <v>14</v>
      </c>
      <c r="D16" s="9" t="s">
        <v>15</v>
      </c>
      <c r="E16" s="9" t="s">
        <v>16</v>
      </c>
    </row>
    <row r="17" spans="1:5" ht="123.75" customHeight="1" x14ac:dyDescent="0.25">
      <c r="A17" s="10">
        <v>1</v>
      </c>
      <c r="B17" s="11" t="s">
        <v>478</v>
      </c>
      <c r="C17" s="11" t="s">
        <v>479</v>
      </c>
      <c r="D17" s="12" t="s">
        <v>480</v>
      </c>
      <c r="E17" s="13">
        <f>2476.02*2.4*1.2*0.805*4.32</f>
        <v>24798.54859776</v>
      </c>
    </row>
    <row r="18" spans="1:5" ht="65.25" customHeight="1" x14ac:dyDescent="0.25">
      <c r="A18" s="10">
        <v>2</v>
      </c>
      <c r="B18" s="187" t="s">
        <v>17</v>
      </c>
      <c r="C18" s="12" t="s">
        <v>18</v>
      </c>
      <c r="D18" s="12" t="s">
        <v>481</v>
      </c>
      <c r="E18" s="13">
        <f>800*1*0.5*4.32</f>
        <v>1728</v>
      </c>
    </row>
    <row r="19" spans="1:5" ht="48" customHeight="1" x14ac:dyDescent="0.25">
      <c r="A19" s="10">
        <v>3</v>
      </c>
      <c r="B19" s="12" t="s">
        <v>20</v>
      </c>
      <c r="C19" s="15" t="s">
        <v>21</v>
      </c>
      <c r="D19" s="16">
        <f>(E17+E18)*0.1</f>
        <v>2652.6548597760002</v>
      </c>
      <c r="E19" s="17">
        <f>D19</f>
        <v>2652.6548597760002</v>
      </c>
    </row>
    <row r="20" spans="1:5" ht="48" customHeight="1" x14ac:dyDescent="0.25">
      <c r="A20" s="10">
        <v>4</v>
      </c>
      <c r="B20" s="119" t="s">
        <v>80</v>
      </c>
      <c r="C20" s="12" t="s">
        <v>89</v>
      </c>
      <c r="D20" s="16"/>
      <c r="E20" s="17">
        <v>16473.34</v>
      </c>
    </row>
    <row r="21" spans="1:5" ht="48" customHeight="1" x14ac:dyDescent="0.25">
      <c r="A21" s="10">
        <v>5</v>
      </c>
      <c r="B21" s="183" t="s">
        <v>23</v>
      </c>
      <c r="C21" s="12"/>
      <c r="D21" s="16"/>
      <c r="E21" s="17">
        <v>35371</v>
      </c>
    </row>
    <row r="22" spans="1:5" x14ac:dyDescent="0.25">
      <c r="A22" s="28">
        <v>6</v>
      </c>
      <c r="B22" s="19" t="s">
        <v>24</v>
      </c>
      <c r="C22" s="15"/>
      <c r="D22" s="15" t="s">
        <v>287</v>
      </c>
      <c r="E22" s="17">
        <f>E19+E18+E17+E20+E21</f>
        <v>81023.543457535998</v>
      </c>
    </row>
    <row r="23" spans="1:5" x14ac:dyDescent="0.25">
      <c r="A23" s="28">
        <v>7</v>
      </c>
      <c r="B23" s="19" t="s">
        <v>249</v>
      </c>
      <c r="C23" s="15"/>
      <c r="D23" s="15" t="s">
        <v>288</v>
      </c>
      <c r="E23" s="17">
        <f>ROUND(E22*20%,2)</f>
        <v>16204.71</v>
      </c>
    </row>
    <row r="24" spans="1:5" x14ac:dyDescent="0.25">
      <c r="A24" s="28">
        <v>8</v>
      </c>
      <c r="B24" s="19" t="s">
        <v>26</v>
      </c>
      <c r="C24" s="15"/>
      <c r="D24" s="15" t="s">
        <v>289</v>
      </c>
      <c r="E24" s="17">
        <f>E22+E23</f>
        <v>97228.25345753599</v>
      </c>
    </row>
    <row r="25" spans="1:5" x14ac:dyDescent="0.25">
      <c r="A25" s="20"/>
      <c r="B25" s="21"/>
      <c r="C25" s="22"/>
      <c r="D25" s="22"/>
      <c r="E25" s="23"/>
    </row>
    <row r="26" spans="1:5" x14ac:dyDescent="0.25">
      <c r="A26" s="1" t="s">
        <v>2</v>
      </c>
    </row>
    <row r="27" spans="1:5" x14ac:dyDescent="0.25">
      <c r="A27" s="1" t="s">
        <v>27</v>
      </c>
    </row>
    <row r="28" spans="1:5" x14ac:dyDescent="0.25">
      <c r="A28" s="1" t="s">
        <v>31</v>
      </c>
    </row>
    <row r="29" spans="1:5" x14ac:dyDescent="0.25">
      <c r="A29" s="4" t="s">
        <v>28</v>
      </c>
    </row>
    <row r="30" spans="1:5" x14ac:dyDescent="0.25">
      <c r="A30" s="1" t="s">
        <v>352</v>
      </c>
    </row>
    <row r="34" spans="5:5" x14ac:dyDescent="0.25">
      <c r="E34" s="1" t="s">
        <v>30</v>
      </c>
    </row>
  </sheetData>
  <mergeCells count="3">
    <mergeCell ref="B1:D1"/>
    <mergeCell ref="A11:E11"/>
    <mergeCell ref="A14:E14"/>
  </mergeCells>
  <pageMargins left="0.19685039370078741" right="0.19685039370078741" top="0.19685039370078741" bottom="0.19685039370078741" header="0.51181102362204722" footer="0.51181102362204722"/>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3"/>
  <sheetViews>
    <sheetView topLeftCell="A13" zoomScaleNormal="100" workbookViewId="0">
      <selection activeCell="E24" sqref="E24"/>
    </sheetView>
  </sheetViews>
  <sheetFormatPr defaultRowHeight="15.75" x14ac:dyDescent="0.25"/>
  <cols>
    <col min="1" max="1" width="4.7109375" style="1" customWidth="1"/>
    <col min="2" max="2" width="26.140625" style="1" customWidth="1"/>
    <col min="3" max="3" width="33" style="1" customWidth="1"/>
    <col min="4" max="4" width="26.7109375" style="1" customWidth="1"/>
    <col min="5" max="5" width="11.85546875" style="1" customWidth="1"/>
    <col min="6" max="16384" width="9.140625" style="1"/>
  </cols>
  <sheetData>
    <row r="1" spans="1:5" x14ac:dyDescent="0.25">
      <c r="B1" s="188" t="s">
        <v>55</v>
      </c>
      <c r="C1" s="188"/>
      <c r="D1" s="188"/>
    </row>
    <row r="3" spans="1:5" x14ac:dyDescent="0.25">
      <c r="A3" s="1" t="s">
        <v>1</v>
      </c>
      <c r="D3" s="2" t="s">
        <v>2</v>
      </c>
      <c r="E3" s="3"/>
    </row>
    <row r="4" spans="1:5" x14ac:dyDescent="0.25">
      <c r="A4" s="1" t="s">
        <v>3</v>
      </c>
      <c r="D4" s="2" t="s">
        <v>4</v>
      </c>
      <c r="E4" s="3"/>
    </row>
    <row r="5" spans="1:5" x14ac:dyDescent="0.25">
      <c r="A5" s="1" t="s">
        <v>5</v>
      </c>
      <c r="D5" s="2" t="s">
        <v>6</v>
      </c>
      <c r="E5" s="3"/>
    </row>
    <row r="6" spans="1:5" x14ac:dyDescent="0.25">
      <c r="D6" s="3"/>
      <c r="E6" s="3"/>
    </row>
    <row r="7" spans="1:5" x14ac:dyDescent="0.25">
      <c r="A7" s="4" t="s">
        <v>54</v>
      </c>
      <c r="D7" s="2" t="s">
        <v>8</v>
      </c>
      <c r="E7" s="3"/>
    </row>
    <row r="8" spans="1:5" x14ac:dyDescent="0.25">
      <c r="A8" s="4" t="s">
        <v>45</v>
      </c>
      <c r="D8" s="2" t="str">
        <f>A8</f>
        <v>"___" ___________ 2018 г.</v>
      </c>
      <c r="E8" s="3"/>
    </row>
    <row r="9" spans="1:5" x14ac:dyDescent="0.25">
      <c r="A9" s="4"/>
      <c r="D9" s="5"/>
      <c r="E9" s="6"/>
    </row>
    <row r="10" spans="1:5" ht="18" customHeight="1" x14ac:dyDescent="0.25">
      <c r="A10" s="189" t="s">
        <v>10</v>
      </c>
      <c r="B10" s="189"/>
      <c r="C10" s="189"/>
      <c r="D10" s="189"/>
      <c r="E10" s="189"/>
    </row>
    <row r="11" spans="1:5" x14ac:dyDescent="0.25">
      <c r="C11" s="7" t="s">
        <v>11</v>
      </c>
    </row>
    <row r="12" spans="1:5" x14ac:dyDescent="0.25">
      <c r="C12" s="7"/>
    </row>
    <row r="13" spans="1:5" ht="33" customHeight="1" x14ac:dyDescent="0.25">
      <c r="A13" s="190" t="s">
        <v>90</v>
      </c>
      <c r="B13" s="190"/>
      <c r="C13" s="190"/>
      <c r="D13" s="190"/>
      <c r="E13" s="190"/>
    </row>
    <row r="14" spans="1:5" ht="0.75" customHeight="1" x14ac:dyDescent="0.25">
      <c r="A14" s="190"/>
      <c r="B14" s="190"/>
      <c r="C14" s="190"/>
      <c r="D14" s="190"/>
      <c r="E14" s="190"/>
    </row>
    <row r="15" spans="1:5" x14ac:dyDescent="0.25">
      <c r="A15" s="8"/>
      <c r="B15" s="8"/>
      <c r="C15" s="8"/>
      <c r="D15" s="8"/>
      <c r="E15" s="8"/>
    </row>
    <row r="16" spans="1:5" ht="95.25" customHeight="1" x14ac:dyDescent="0.25">
      <c r="A16" s="9" t="s">
        <v>12</v>
      </c>
      <c r="B16" s="9" t="s">
        <v>13</v>
      </c>
      <c r="C16" s="9" t="s">
        <v>14</v>
      </c>
      <c r="D16" s="9" t="s">
        <v>15</v>
      </c>
      <c r="E16" s="9" t="s">
        <v>16</v>
      </c>
    </row>
    <row r="17" spans="1:5" ht="123.75" customHeight="1" x14ac:dyDescent="0.25">
      <c r="A17" s="10">
        <v>1</v>
      </c>
      <c r="B17" s="11" t="s">
        <v>91</v>
      </c>
      <c r="C17" s="11" t="s">
        <v>92</v>
      </c>
      <c r="D17" s="12" t="s">
        <v>93</v>
      </c>
      <c r="E17" s="13">
        <f>1491.62*2.4*1.2*0.805*3.99</f>
        <v>13798.10551392</v>
      </c>
    </row>
    <row r="18" spans="1:5" ht="57.75" customHeight="1" x14ac:dyDescent="0.25">
      <c r="A18" s="10">
        <v>2</v>
      </c>
      <c r="B18" s="14" t="s">
        <v>17</v>
      </c>
      <c r="C18" s="12" t="s">
        <v>18</v>
      </c>
      <c r="D18" s="12" t="s">
        <v>19</v>
      </c>
      <c r="E18" s="13">
        <f>800*1*0.5*3.99</f>
        <v>1596</v>
      </c>
    </row>
    <row r="19" spans="1:5" ht="48" customHeight="1" x14ac:dyDescent="0.25">
      <c r="A19" s="10">
        <v>3</v>
      </c>
      <c r="B19" s="12" t="s">
        <v>20</v>
      </c>
      <c r="C19" s="15" t="s">
        <v>21</v>
      </c>
      <c r="D19" s="16">
        <f>(E17+E18)*0.1</f>
        <v>1539.4105513920001</v>
      </c>
      <c r="E19" s="17">
        <f>D19</f>
        <v>1539.4105513920001</v>
      </c>
    </row>
    <row r="20" spans="1:5" ht="48" customHeight="1" x14ac:dyDescent="0.25">
      <c r="A20" s="10">
        <v>4</v>
      </c>
      <c r="B20" s="12" t="s">
        <v>23</v>
      </c>
      <c r="C20" s="15"/>
      <c r="D20" s="16"/>
      <c r="E20" s="17">
        <v>41179</v>
      </c>
    </row>
    <row r="21" spans="1:5" x14ac:dyDescent="0.25">
      <c r="A21" s="18"/>
      <c r="B21" s="19" t="s">
        <v>24</v>
      </c>
      <c r="C21" s="15"/>
      <c r="D21" s="15"/>
      <c r="E21" s="17">
        <f>E20+E19+E18+E17</f>
        <v>58112.516065311996</v>
      </c>
    </row>
    <row r="22" spans="1:5" x14ac:dyDescent="0.25">
      <c r="A22" s="18"/>
      <c r="B22" s="19" t="s">
        <v>25</v>
      </c>
      <c r="C22" s="15"/>
      <c r="D22" s="15"/>
      <c r="E22" s="17">
        <f>ROUND(E21*18%,2)</f>
        <v>10460.25</v>
      </c>
    </row>
    <row r="23" spans="1:5" x14ac:dyDescent="0.25">
      <c r="A23" s="18"/>
      <c r="B23" s="19" t="s">
        <v>26</v>
      </c>
      <c r="C23" s="15"/>
      <c r="D23" s="15"/>
      <c r="E23" s="17">
        <f>E21+E22</f>
        <v>68572.766065311996</v>
      </c>
    </row>
    <row r="24" spans="1:5" x14ac:dyDescent="0.25">
      <c r="A24" s="20"/>
      <c r="B24" s="21"/>
      <c r="C24" s="22"/>
      <c r="D24" s="22"/>
      <c r="E24" s="23"/>
    </row>
    <row r="25" spans="1:5" x14ac:dyDescent="0.25">
      <c r="A25" s="1" t="s">
        <v>2</v>
      </c>
    </row>
    <row r="26" spans="1:5" x14ac:dyDescent="0.25">
      <c r="A26" s="1" t="s">
        <v>27</v>
      </c>
    </row>
    <row r="27" spans="1:5" x14ac:dyDescent="0.25">
      <c r="A27" s="1" t="s">
        <v>31</v>
      </c>
    </row>
    <row r="28" spans="1:5" x14ac:dyDescent="0.25">
      <c r="A28" s="4" t="s">
        <v>28</v>
      </c>
    </row>
    <row r="29" spans="1:5" x14ac:dyDescent="0.25">
      <c r="A29" s="1" t="s">
        <v>29</v>
      </c>
    </row>
    <row r="33" spans="5:5" x14ac:dyDescent="0.25">
      <c r="E33" s="1" t="s">
        <v>30</v>
      </c>
    </row>
  </sheetData>
  <mergeCells count="4">
    <mergeCell ref="B1:D1"/>
    <mergeCell ref="A10:E10"/>
    <mergeCell ref="A13:E13"/>
    <mergeCell ref="A14:E14"/>
  </mergeCells>
  <pageMargins left="0.19685039370078741" right="0.19685039370078741" top="0.19685039370078741" bottom="0.19685039370078741" header="0.51181102362204722" footer="0.51181102362204722"/>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4"/>
  <sheetViews>
    <sheetView topLeftCell="A16" zoomScaleNormal="100" workbookViewId="0">
      <selection activeCell="E24" sqref="E24"/>
    </sheetView>
  </sheetViews>
  <sheetFormatPr defaultRowHeight="15.75" x14ac:dyDescent="0.25"/>
  <cols>
    <col min="1" max="1" width="4.7109375" style="1" customWidth="1"/>
    <col min="2" max="2" width="26.140625" style="1" customWidth="1"/>
    <col min="3" max="3" width="33" style="1" customWidth="1"/>
    <col min="4" max="4" width="26.7109375" style="1" customWidth="1"/>
    <col min="5" max="5" width="11.85546875" style="1" customWidth="1"/>
    <col min="6" max="16384" width="9.140625" style="1"/>
  </cols>
  <sheetData>
    <row r="1" spans="1:5" x14ac:dyDescent="0.25">
      <c r="B1" s="188" t="s">
        <v>55</v>
      </c>
      <c r="C1" s="188"/>
      <c r="D1" s="188"/>
    </row>
    <row r="3" spans="1:5" x14ac:dyDescent="0.25">
      <c r="A3" s="1" t="s">
        <v>1</v>
      </c>
      <c r="D3" s="2" t="s">
        <v>2</v>
      </c>
      <c r="E3" s="3"/>
    </row>
    <row r="4" spans="1:5" x14ac:dyDescent="0.25">
      <c r="A4" s="1" t="s">
        <v>3</v>
      </c>
      <c r="D4" s="2" t="s">
        <v>4</v>
      </c>
      <c r="E4" s="3"/>
    </row>
    <row r="5" spans="1:5" x14ac:dyDescent="0.25">
      <c r="A5" s="1" t="s">
        <v>5</v>
      </c>
      <c r="D5" s="2" t="s">
        <v>6</v>
      </c>
      <c r="E5" s="3"/>
    </row>
    <row r="6" spans="1:5" x14ac:dyDescent="0.25">
      <c r="D6" s="3"/>
      <c r="E6" s="3"/>
    </row>
    <row r="7" spans="1:5" x14ac:dyDescent="0.25">
      <c r="A7" s="4" t="s">
        <v>54</v>
      </c>
      <c r="D7" s="2" t="s">
        <v>8</v>
      </c>
      <c r="E7" s="3"/>
    </row>
    <row r="8" spans="1:5" x14ac:dyDescent="0.25">
      <c r="A8" s="4" t="s">
        <v>45</v>
      </c>
      <c r="D8" s="2" t="str">
        <f>A8</f>
        <v>"___" ___________ 2018 г.</v>
      </c>
      <c r="E8" s="3"/>
    </row>
    <row r="9" spans="1:5" x14ac:dyDescent="0.25">
      <c r="A9" s="4"/>
      <c r="D9" s="5"/>
      <c r="E9" s="6"/>
    </row>
    <row r="10" spans="1:5" ht="18" customHeight="1" x14ac:dyDescent="0.25">
      <c r="A10" s="189" t="s">
        <v>10</v>
      </c>
      <c r="B10" s="189"/>
      <c r="C10" s="189"/>
      <c r="D10" s="189"/>
      <c r="E10" s="189"/>
    </row>
    <row r="11" spans="1:5" x14ac:dyDescent="0.25">
      <c r="C11" s="7" t="s">
        <v>11</v>
      </c>
    </row>
    <row r="12" spans="1:5" x14ac:dyDescent="0.25">
      <c r="C12" s="7"/>
    </row>
    <row r="13" spans="1:5" ht="33" customHeight="1" x14ac:dyDescent="0.25">
      <c r="A13" s="190" t="s">
        <v>94</v>
      </c>
      <c r="B13" s="190"/>
      <c r="C13" s="190"/>
      <c r="D13" s="190"/>
      <c r="E13" s="190"/>
    </row>
    <row r="14" spans="1:5" ht="0.75" customHeight="1" x14ac:dyDescent="0.25">
      <c r="A14" s="190"/>
      <c r="B14" s="190"/>
      <c r="C14" s="190"/>
      <c r="D14" s="190"/>
      <c r="E14" s="190"/>
    </row>
    <row r="15" spans="1:5" x14ac:dyDescent="0.25">
      <c r="A15" s="8"/>
      <c r="B15" s="8"/>
      <c r="C15" s="8"/>
      <c r="D15" s="8"/>
      <c r="E15" s="8"/>
    </row>
    <row r="16" spans="1:5" ht="95.25" customHeight="1" x14ac:dyDescent="0.25">
      <c r="A16" s="9" t="s">
        <v>12</v>
      </c>
      <c r="B16" s="9" t="s">
        <v>13</v>
      </c>
      <c r="C16" s="9" t="s">
        <v>14</v>
      </c>
      <c r="D16" s="9" t="s">
        <v>15</v>
      </c>
      <c r="E16" s="9" t="s">
        <v>16</v>
      </c>
    </row>
    <row r="17" spans="1:5" ht="123.75" customHeight="1" x14ac:dyDescent="0.25">
      <c r="A17" s="10">
        <v>1</v>
      </c>
      <c r="B17" s="11" t="s">
        <v>95</v>
      </c>
      <c r="C17" s="11" t="s">
        <v>96</v>
      </c>
      <c r="D17" s="12" t="s">
        <v>97</v>
      </c>
      <c r="E17" s="13">
        <f>6900.78*2.4*1.2*0.805*3.99</f>
        <v>63835.085724480006</v>
      </c>
    </row>
    <row r="18" spans="1:5" ht="57.75" customHeight="1" x14ac:dyDescent="0.25">
      <c r="A18" s="10">
        <v>2</v>
      </c>
      <c r="B18" s="14" t="s">
        <v>17</v>
      </c>
      <c r="C18" s="12" t="s">
        <v>18</v>
      </c>
      <c r="D18" s="12" t="s">
        <v>19</v>
      </c>
      <c r="E18" s="13">
        <f>800*1*0.5*3.99</f>
        <v>1596</v>
      </c>
    </row>
    <row r="19" spans="1:5" ht="48" customHeight="1" x14ac:dyDescent="0.25">
      <c r="A19" s="10">
        <v>3</v>
      </c>
      <c r="B19" s="12" t="s">
        <v>20</v>
      </c>
      <c r="C19" s="15" t="s">
        <v>21</v>
      </c>
      <c r="D19" s="16">
        <f>(E17+E18)*0.1</f>
        <v>6543.1085724480008</v>
      </c>
      <c r="E19" s="17">
        <f>D19</f>
        <v>6543.1085724480008</v>
      </c>
    </row>
    <row r="20" spans="1:5" ht="48" customHeight="1" x14ac:dyDescent="0.25">
      <c r="A20" s="10">
        <v>4</v>
      </c>
      <c r="B20" s="12" t="s">
        <v>22</v>
      </c>
      <c r="C20" s="15"/>
      <c r="D20" s="16"/>
      <c r="E20" s="17">
        <v>12711.86</v>
      </c>
    </row>
    <row r="21" spans="1:5" ht="48" customHeight="1" x14ac:dyDescent="0.25">
      <c r="A21" s="10">
        <v>5</v>
      </c>
      <c r="B21" s="12" t="s">
        <v>23</v>
      </c>
      <c r="C21" s="15"/>
      <c r="D21" s="16"/>
      <c r="E21" s="17">
        <v>68167</v>
      </c>
    </row>
    <row r="22" spans="1:5" x14ac:dyDescent="0.25">
      <c r="A22" s="18"/>
      <c r="B22" s="19" t="s">
        <v>24</v>
      </c>
      <c r="C22" s="15"/>
      <c r="D22" s="15"/>
      <c r="E22" s="17">
        <f>E21+E20+E19+E18+E17</f>
        <v>152853.05429692802</v>
      </c>
    </row>
    <row r="23" spans="1:5" x14ac:dyDescent="0.25">
      <c r="A23" s="18"/>
      <c r="B23" s="19" t="s">
        <v>25</v>
      </c>
      <c r="C23" s="15"/>
      <c r="D23" s="15"/>
      <c r="E23" s="17">
        <f>ROUND(E22*18%,2)</f>
        <v>27513.55</v>
      </c>
    </row>
    <row r="24" spans="1:5" x14ac:dyDescent="0.25">
      <c r="A24" s="18"/>
      <c r="B24" s="19" t="s">
        <v>26</v>
      </c>
      <c r="C24" s="15"/>
      <c r="D24" s="15"/>
      <c r="E24" s="17">
        <f>E22+E23</f>
        <v>180366.60429692801</v>
      </c>
    </row>
    <row r="25" spans="1:5" x14ac:dyDescent="0.25">
      <c r="A25" s="20"/>
      <c r="B25" s="21"/>
      <c r="C25" s="22"/>
      <c r="D25" s="22"/>
      <c r="E25" s="23"/>
    </row>
    <row r="26" spans="1:5" x14ac:dyDescent="0.25">
      <c r="A26" s="1" t="s">
        <v>2</v>
      </c>
    </row>
    <row r="27" spans="1:5" x14ac:dyDescent="0.25">
      <c r="A27" s="1" t="s">
        <v>27</v>
      </c>
    </row>
    <row r="28" spans="1:5" x14ac:dyDescent="0.25">
      <c r="A28" s="1" t="s">
        <v>31</v>
      </c>
    </row>
    <row r="29" spans="1:5" x14ac:dyDescent="0.25">
      <c r="A29" s="4" t="s">
        <v>28</v>
      </c>
    </row>
    <row r="30" spans="1:5" x14ac:dyDescent="0.25">
      <c r="A30" s="1" t="s">
        <v>29</v>
      </c>
    </row>
    <row r="34" spans="5:5" x14ac:dyDescent="0.25">
      <c r="E34" s="1" t="s">
        <v>30</v>
      </c>
    </row>
  </sheetData>
  <mergeCells count="4">
    <mergeCell ref="B1:D1"/>
    <mergeCell ref="A10:E10"/>
    <mergeCell ref="A13:E13"/>
    <mergeCell ref="A14:E14"/>
  </mergeCells>
  <pageMargins left="0.19685039370078741" right="0.19685039370078741" top="0.19685039370078741" bottom="0.19685039370078741" header="0.51181102362204722" footer="0.51181102362204722"/>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73</vt:i4>
      </vt:variant>
    </vt:vector>
  </HeadingPairs>
  <TitlesOfParts>
    <vt:vector size="73" baseType="lpstr">
      <vt:lpstr>ВЛ ТП 114 - Гущина Р.Н.</vt:lpstr>
      <vt:lpstr>ВЛ ТП 229 - Алексеев МВ</vt:lpstr>
      <vt:lpstr>ВЛ ТП 738 - Бирюков А.С.</vt:lpstr>
      <vt:lpstr>ВЛ ТП 746 - Сизова Н.А.</vt:lpstr>
      <vt:lpstr>ВЛ ТП 839 - Гусейнов А.С.</vt:lpstr>
      <vt:lpstr>ВЛ РП-Горный Реконст.</vt:lpstr>
      <vt:lpstr>ВЛ РП-Горный Реконст. (2)</vt:lpstr>
      <vt:lpstr>ВЛ ТП 947 - Гнедова Н.А.</vt:lpstr>
      <vt:lpstr>ВЛ ТП 657 - Коротков А.Е.</vt:lpstr>
      <vt:lpstr>ВЛ ТП 168 - Глухова Л.А.</vt:lpstr>
      <vt:lpstr>ВЛ ТП 738 - Бабенко А.В.</vt:lpstr>
      <vt:lpstr>ВЛ ТП 839 - Мухаметшин С.С.</vt:lpstr>
      <vt:lpstr>ВЛ ТП 1106 - Петросян А.А.</vt:lpstr>
      <vt:lpstr>ВЛ ТП 464 - Акберов Х.А.</vt:lpstr>
      <vt:lpstr>ВЛ ТП 1106 - ООО Меркурий-Н</vt:lpstr>
      <vt:lpstr>ВЛ ТП 590 - Заико К.В.</vt:lpstr>
      <vt:lpstr>ВЛ0,4-ТП-738 КЛ выв.Маркин О.И </vt:lpstr>
      <vt:lpstr>ВЛ ТП 1115-ООО Геотраст</vt:lpstr>
      <vt:lpstr>ВЛ ТП 323 - Коваленко А.Л.</vt:lpstr>
      <vt:lpstr>ВЛ КТП 748 - Гологурская Р.Г.</vt:lpstr>
      <vt:lpstr>ВЛ ТП 353 - Белобородов Д.Л.</vt:lpstr>
      <vt:lpstr>ВЛ РП-Юбилейный- Погосян А.Н.</vt:lpstr>
      <vt:lpstr>ВЛ КТП-997- Чистоколов С.П.</vt:lpstr>
      <vt:lpstr>ВЛ ТП-177- Чеснокова А.В.</vt:lpstr>
      <vt:lpstr>ВЛ КТП-787- Булатова Т.Р.</vt:lpstr>
      <vt:lpstr>ТП 69 ВЛ и КЛ Умроян</vt:lpstr>
      <vt:lpstr>ТП 1486 ВЛ и КЛ Иманов В.Ш.</vt:lpstr>
      <vt:lpstr>ВЛ ТП-564- Корниенко В.А.</vt:lpstr>
      <vt:lpstr>ВЛ ТП-347- Барулин А.Н</vt:lpstr>
      <vt:lpstr>ВЛ КТП-946- Морозова Ю.К.</vt:lpstr>
      <vt:lpstr>ВЛ ТП-447ФГБУРос.сельскохо.цент</vt:lpstr>
      <vt:lpstr>ВЛ ТП-206- Гусейнов Р.Э</vt:lpstr>
      <vt:lpstr>ВЛ-0,4 РП-Нагорный,т.пр.Доненко</vt:lpstr>
      <vt:lpstr>ВЛ ТП-1435 Гришин А.В.</vt:lpstr>
      <vt:lpstr>Рек. ВЛ-0,4 ТП-1140</vt:lpstr>
      <vt:lpstr>ВЛ ТП-736 Карпова Л.Д.</vt:lpstr>
      <vt:lpstr>ВЛ ТП-1471 Василенко И.О.</vt:lpstr>
      <vt:lpstr>ВЛ РП-Поливановский Якунин А.В.</vt:lpstr>
      <vt:lpstr>ВЛ ТП-725 Дмитриева О.М.</vt:lpstr>
      <vt:lpstr>ВЛ ТП-729 Ларин В.С</vt:lpstr>
      <vt:lpstr>ВЛ ТП-227 Шалашова М.Л</vt:lpstr>
      <vt:lpstr>ВЛ ТП-217 Пухлов О.Л.</vt:lpstr>
      <vt:lpstr>ВЛ ТП-191 Мошкунова Т.В.</vt:lpstr>
      <vt:lpstr>ВЛ ТП-550 Востренкова В.А.</vt:lpstr>
      <vt:lpstr>Рек. ВЛ РП-Комсомольский</vt:lpstr>
      <vt:lpstr>ВЛ ТП-1471 Тишкова А.С.</vt:lpstr>
      <vt:lpstr>ВЛ-0,4ТП-1332ГСК Люфт-1(Шуваки)</vt:lpstr>
      <vt:lpstr>ВЛ ТП-160 Сиетова А.Ю.</vt:lpstr>
      <vt:lpstr>ВЛ-0,4+КЛ-0,4кВ ТП-725 Графов</vt:lpstr>
      <vt:lpstr>ВЛ Рек.ТП-1371 Саркисян Н.Э.</vt:lpstr>
      <vt:lpstr>ВЛ КТП-787 Хвостов К.Г.</vt:lpstr>
      <vt:lpstr>ВЛ РП-Питомник,т.п.Кулагина И.В</vt:lpstr>
      <vt:lpstr>ВЛ ТП-1427 Романов А.В.</vt:lpstr>
      <vt:lpstr>ВЛ ТП-616 Шиляева,Стексова,Степ</vt:lpstr>
      <vt:lpstr>ВЛ ТП-193 Бордюгов Н.И.</vt:lpstr>
      <vt:lpstr>ВЛ Рек.ТП-1426 Шальнев Е.С.</vt:lpstr>
      <vt:lpstr>ВЛ ТП-1471 Пенюкова Е.С.</vt:lpstr>
      <vt:lpstr>ВЛ КТП-690 Феоктистова Ю.А.</vt:lpstr>
      <vt:lpstr>ВЛ ТП-322 Давыденко А.В.</vt:lpstr>
      <vt:lpstr>ВЛ ТП-1358 Захаров А.В.</vt:lpstr>
      <vt:lpstr>ВЛ РП-Кардан Шашкова Т.М.</vt:lpstr>
      <vt:lpstr>ВЛ ТП-110 Медведев И.М.</vt:lpstr>
      <vt:lpstr>ВЛ ТП-1121 Синяев А.А.</vt:lpstr>
      <vt:lpstr>ВЛ ТП-568 Журавлева Е.И.</vt:lpstr>
      <vt:lpstr>ВЛ ТП-1033 Логинов С.Г.</vt:lpstr>
      <vt:lpstr>ВЛ ТП-1471 Антонова Л.М.</vt:lpstr>
      <vt:lpstr>ВЛ ТП-562 Шпак М.М</vt:lpstr>
      <vt:lpstr>ВЛ ТП-110 Прохожай А.Н.</vt:lpstr>
      <vt:lpstr>РекВЛ-0,4КЛ-0,4кВ ТП-44</vt:lpstr>
      <vt:lpstr>ВЛ ТП-1010 Рек</vt:lpstr>
      <vt:lpstr>Рек ВЛ-0,4КЛ-0,4кВ ТП-1405</vt:lpstr>
      <vt:lpstr>ВЛ ТП-410 Рек</vt:lpstr>
      <vt:lpstr>ВЛ ТП-997 Баёва О.В.</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171</dc:creator>
  <cp:lastModifiedBy>Kulikova Irina Andreevna</cp:lastModifiedBy>
  <cp:lastPrinted>2020-04-14T07:37:07Z</cp:lastPrinted>
  <dcterms:created xsi:type="dcterms:W3CDTF">2017-09-27T10:49:56Z</dcterms:created>
  <dcterms:modified xsi:type="dcterms:W3CDTF">2020-04-20T05:15:38Z</dcterms:modified>
</cp:coreProperties>
</file>